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riq\Desktop\Cargatucoche\CHARGICK\Plataforma\Plataforma online\"/>
    </mc:Choice>
  </mc:AlternateContent>
  <xr:revisionPtr revIDLastSave="0" documentId="8_{3C94F54A-DCCD-49D3-B333-896FA4C838AC}" xr6:coauthVersionLast="44" xr6:coauthVersionMax="44" xr10:uidLastSave="{00000000-0000-0000-0000-000000000000}"/>
  <bookViews>
    <workbookView xWindow="-110" yWindow="-110" windowWidth="19420" windowHeight="10420" tabRatio="486" firstSheet="9" activeTab="12" xr2:uid="{57E0A118-5503-4FA4-B08C-C50C95B3E98D}"/>
  </bookViews>
  <sheets>
    <sheet name="General Info" sheetId="12" r:id="rId1"/>
    <sheet name="Graphs" sheetId="21" r:id="rId2"/>
    <sheet name="Assumptions" sheetId="13" r:id="rId3"/>
    <sheet name="Forecast Sold Cars" sheetId="1" r:id="rId4"/>
    <sheet name="Forecast Users" sheetId="20" r:id="rId5"/>
    <sheet name="Income" sheetId="2" r:id="rId6"/>
    <sheet name="Cost of Sales" sheetId="14" r:id="rId7"/>
    <sheet name="RRHH Team" sheetId="15" r:id="rId8"/>
    <sheet name="Salaries" sheetId="10" r:id="rId9"/>
    <sheet name="Marketing" sheetId="16" r:id="rId10"/>
    <sheet name="Cargatucoche" sheetId="17" r:id="rId11"/>
    <sheet name="Inversion Software" sheetId="23" r:id="rId12"/>
    <sheet name="PROFIT" sheetId="5" r:id="rId13"/>
    <sheet name="Chargick map" sheetId="8" r:id="rId14"/>
  </sheets>
  <definedNames>
    <definedName name="_xlnm._FilterDatabase" localSheetId="8" hidden="1">Salaries!$C$1:$E$1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8" i="13" l="1"/>
  <c r="P68" i="13"/>
  <c r="Q68" i="13"/>
  <c r="V28" i="14"/>
  <c r="V29" i="14"/>
  <c r="O81" i="13"/>
  <c r="P81" i="13"/>
  <c r="Q81" i="13"/>
  <c r="V62" i="14"/>
  <c r="V63" i="14"/>
  <c r="O94" i="13"/>
  <c r="P94" i="13"/>
  <c r="Q94" i="13"/>
  <c r="V96" i="14"/>
  <c r="V97" i="14"/>
  <c r="O107" i="13"/>
  <c r="P107" i="13"/>
  <c r="Q107" i="13"/>
  <c r="V130" i="14"/>
  <c r="V131" i="14"/>
  <c r="F160" i="14"/>
  <c r="F141" i="14"/>
  <c r="H12" i="5"/>
  <c r="O67" i="13"/>
  <c r="P67" i="13"/>
  <c r="Q67" i="13"/>
  <c r="V19" i="14"/>
  <c r="V20" i="14"/>
  <c r="O80" i="13"/>
  <c r="P80" i="13"/>
  <c r="Q80" i="13"/>
  <c r="V53" i="14"/>
  <c r="V54" i="14"/>
  <c r="O93" i="13"/>
  <c r="P93" i="13"/>
  <c r="Q93" i="13"/>
  <c r="V87" i="14"/>
  <c r="V88" i="14"/>
  <c r="O106" i="13"/>
  <c r="P106" i="13"/>
  <c r="Q106" i="13"/>
  <c r="V121" i="14"/>
  <c r="V122" i="14"/>
  <c r="F152" i="14"/>
  <c r="F154" i="14"/>
  <c r="F140" i="14"/>
  <c r="H11" i="5"/>
  <c r="H14" i="5"/>
  <c r="H15" i="5"/>
  <c r="O15" i="5"/>
  <c r="R68" i="13"/>
  <c r="W28" i="14"/>
  <c r="W29" i="14"/>
  <c r="R81" i="13"/>
  <c r="W62" i="14"/>
  <c r="W63" i="14"/>
  <c r="R94" i="13"/>
  <c r="W96" i="14"/>
  <c r="W97" i="14"/>
  <c r="R107" i="13"/>
  <c r="W130" i="14"/>
  <c r="W131" i="14"/>
  <c r="G160" i="14"/>
  <c r="G141" i="14"/>
  <c r="I12" i="5"/>
  <c r="R67" i="13"/>
  <c r="W19" i="14"/>
  <c r="W20" i="14"/>
  <c r="R80" i="13"/>
  <c r="W53" i="14"/>
  <c r="W54" i="14"/>
  <c r="R93" i="13"/>
  <c r="W87" i="14"/>
  <c r="W88" i="14"/>
  <c r="R106" i="13"/>
  <c r="W121" i="14"/>
  <c r="W122" i="14"/>
  <c r="G152" i="14"/>
  <c r="G154" i="14"/>
  <c r="G140" i="14"/>
  <c r="I11" i="5"/>
  <c r="I14" i="5"/>
  <c r="I15" i="5"/>
  <c r="P15" i="5"/>
  <c r="U28" i="14"/>
  <c r="U29" i="14"/>
  <c r="U62" i="14"/>
  <c r="U63" i="14"/>
  <c r="U96" i="14"/>
  <c r="U97" i="14"/>
  <c r="U130" i="14"/>
  <c r="U131" i="14"/>
  <c r="E160" i="14"/>
  <c r="E141" i="14"/>
  <c r="G12" i="5"/>
  <c r="U19" i="14"/>
  <c r="U20" i="14"/>
  <c r="U53" i="14"/>
  <c r="U54" i="14"/>
  <c r="U87" i="14"/>
  <c r="U88" i="14"/>
  <c r="U121" i="14"/>
  <c r="U122" i="14"/>
  <c r="E152" i="14"/>
  <c r="E154" i="14"/>
  <c r="E140" i="14"/>
  <c r="G11" i="5"/>
  <c r="G14" i="5"/>
  <c r="G15" i="5"/>
  <c r="N15" i="5"/>
  <c r="C28" i="14"/>
  <c r="C29" i="14"/>
  <c r="D28" i="14"/>
  <c r="D29" i="14"/>
  <c r="E28" i="14"/>
  <c r="E29" i="14"/>
  <c r="F28" i="14"/>
  <c r="F29" i="14"/>
  <c r="G28" i="14"/>
  <c r="G29" i="14"/>
  <c r="H28" i="14"/>
  <c r="H29" i="14"/>
  <c r="I28" i="14"/>
  <c r="I29" i="14"/>
  <c r="J28" i="14"/>
  <c r="J29" i="14"/>
  <c r="K28" i="14"/>
  <c r="K29" i="14"/>
  <c r="L28" i="14"/>
  <c r="L29" i="14"/>
  <c r="M28" i="14"/>
  <c r="M29" i="14"/>
  <c r="N28" i="14"/>
  <c r="N29" i="14"/>
  <c r="O29" i="14"/>
  <c r="S7" i="14"/>
  <c r="C141" i="14"/>
  <c r="E62" i="17"/>
  <c r="E55" i="17"/>
  <c r="E61" i="17"/>
  <c r="E63" i="17"/>
  <c r="E41" i="17"/>
  <c r="F62" i="17"/>
  <c r="F55" i="17"/>
  <c r="F61" i="17"/>
  <c r="F63" i="17"/>
  <c r="F41" i="17"/>
  <c r="G62" i="17"/>
  <c r="G55" i="17"/>
  <c r="G61" i="17"/>
  <c r="G63" i="17"/>
  <c r="G41" i="17"/>
  <c r="H62" i="17"/>
  <c r="H55" i="17"/>
  <c r="H61" i="17"/>
  <c r="H63" i="17"/>
  <c r="H41" i="17"/>
  <c r="I62" i="17"/>
  <c r="I63" i="17"/>
  <c r="I41" i="17"/>
  <c r="J62" i="17"/>
  <c r="J63" i="17"/>
  <c r="J41" i="17"/>
  <c r="K62" i="17"/>
  <c r="K63" i="17"/>
  <c r="K41" i="17"/>
  <c r="L62" i="17"/>
  <c r="L63" i="17"/>
  <c r="L41" i="17"/>
  <c r="E12" i="5"/>
  <c r="C19" i="14"/>
  <c r="C20" i="14"/>
  <c r="C22" i="14"/>
  <c r="D19" i="14"/>
  <c r="D20" i="14"/>
  <c r="D22" i="14"/>
  <c r="E19" i="14"/>
  <c r="E20" i="14"/>
  <c r="E22" i="14"/>
  <c r="F19" i="14"/>
  <c r="F20" i="14"/>
  <c r="F22" i="14"/>
  <c r="G19" i="14"/>
  <c r="G20" i="14"/>
  <c r="G22" i="14"/>
  <c r="H19" i="14"/>
  <c r="H20" i="14"/>
  <c r="H22" i="14"/>
  <c r="I19" i="14"/>
  <c r="I20" i="14"/>
  <c r="I22" i="14"/>
  <c r="J19" i="14"/>
  <c r="J20" i="14"/>
  <c r="J22" i="14"/>
  <c r="K19" i="14"/>
  <c r="K20" i="14"/>
  <c r="K22" i="14"/>
  <c r="L19" i="14"/>
  <c r="L20" i="14"/>
  <c r="L22" i="14"/>
  <c r="M19" i="14"/>
  <c r="M20" i="14"/>
  <c r="M22" i="14"/>
  <c r="N19" i="14"/>
  <c r="N20" i="14"/>
  <c r="N22" i="14"/>
  <c r="O22" i="14"/>
  <c r="S6" i="14"/>
  <c r="C140" i="14"/>
  <c r="E53" i="17"/>
  <c r="E19" i="17"/>
  <c r="E52" i="17"/>
  <c r="E54" i="17"/>
  <c r="E16" i="17"/>
  <c r="E49" i="17"/>
  <c r="E51" i="17"/>
  <c r="E56" i="17"/>
  <c r="E40" i="17"/>
  <c r="F53" i="17"/>
  <c r="F19" i="17"/>
  <c r="F52" i="17"/>
  <c r="F54" i="17"/>
  <c r="F16" i="17"/>
  <c r="F49" i="17"/>
  <c r="F51" i="17"/>
  <c r="F56" i="17"/>
  <c r="F40" i="17"/>
  <c r="G53" i="17"/>
  <c r="G19" i="17"/>
  <c r="G52" i="17"/>
  <c r="G54" i="17"/>
  <c r="G16" i="17"/>
  <c r="G49" i="17"/>
  <c r="G51" i="17"/>
  <c r="G56" i="17"/>
  <c r="G40" i="17"/>
  <c r="H53" i="17"/>
  <c r="H19" i="17"/>
  <c r="H52" i="17"/>
  <c r="H54" i="17"/>
  <c r="H16" i="17"/>
  <c r="H49" i="17"/>
  <c r="H51" i="17"/>
  <c r="H56" i="17"/>
  <c r="H40" i="17"/>
  <c r="I53" i="17"/>
  <c r="I19" i="17"/>
  <c r="I52" i="17"/>
  <c r="I54" i="17"/>
  <c r="I16" i="17"/>
  <c r="I49" i="17"/>
  <c r="I51" i="17"/>
  <c r="I56" i="17"/>
  <c r="I40" i="17"/>
  <c r="J53" i="17"/>
  <c r="J19" i="17"/>
  <c r="J52" i="17"/>
  <c r="J54" i="17"/>
  <c r="J16" i="17"/>
  <c r="J49" i="17"/>
  <c r="J51" i="17"/>
  <c r="J56" i="17"/>
  <c r="J40" i="17"/>
  <c r="K53" i="17"/>
  <c r="K19" i="17"/>
  <c r="K52" i="17"/>
  <c r="K54" i="17"/>
  <c r="K16" i="17"/>
  <c r="K49" i="17"/>
  <c r="K51" i="17"/>
  <c r="K56" i="17"/>
  <c r="K40" i="17"/>
  <c r="L53" i="17"/>
  <c r="L19" i="17"/>
  <c r="L52" i="17"/>
  <c r="L54" i="17"/>
  <c r="L16" i="17"/>
  <c r="L49" i="17"/>
  <c r="L51" i="17"/>
  <c r="L56" i="17"/>
  <c r="L40" i="17"/>
  <c r="E11" i="5"/>
  <c r="E14" i="5"/>
  <c r="I18" i="17"/>
  <c r="I21" i="17"/>
  <c r="I23" i="17"/>
  <c r="I7" i="17"/>
  <c r="E18" i="17"/>
  <c r="E21" i="17"/>
  <c r="E23" i="17"/>
  <c r="E7" i="17"/>
  <c r="F18" i="17"/>
  <c r="F21" i="17"/>
  <c r="F23" i="17"/>
  <c r="F7" i="17"/>
  <c r="G18" i="17"/>
  <c r="G21" i="17"/>
  <c r="G23" i="17"/>
  <c r="G7" i="17"/>
  <c r="H18" i="17"/>
  <c r="H21" i="17"/>
  <c r="H23" i="17"/>
  <c r="H7" i="17"/>
  <c r="J18" i="17"/>
  <c r="J21" i="17"/>
  <c r="J23" i="17"/>
  <c r="J7" i="17"/>
  <c r="K18" i="17"/>
  <c r="K21" i="17"/>
  <c r="K23" i="17"/>
  <c r="K7" i="17"/>
  <c r="L18" i="17"/>
  <c r="L21" i="17"/>
  <c r="L23" i="17"/>
  <c r="L7" i="17"/>
  <c r="E7" i="5"/>
  <c r="I28" i="17"/>
  <c r="I30" i="17"/>
  <c r="I8" i="17"/>
  <c r="E28" i="17"/>
  <c r="E30" i="17"/>
  <c r="E8" i="17"/>
  <c r="F28" i="17"/>
  <c r="F30" i="17"/>
  <c r="F8" i="17"/>
  <c r="G28" i="17"/>
  <c r="G30" i="17"/>
  <c r="G8" i="17"/>
  <c r="H28" i="17"/>
  <c r="H30" i="17"/>
  <c r="H8" i="17"/>
  <c r="J28" i="17"/>
  <c r="J30" i="17"/>
  <c r="J8" i="17"/>
  <c r="K28" i="17"/>
  <c r="K30" i="17"/>
  <c r="K8" i="17"/>
  <c r="L28" i="17"/>
  <c r="L30" i="17"/>
  <c r="L8" i="17"/>
  <c r="E8" i="5"/>
  <c r="E10" i="5"/>
  <c r="E15" i="5"/>
  <c r="L15" i="5"/>
  <c r="T28" i="14"/>
  <c r="T29" i="14"/>
  <c r="T62" i="14"/>
  <c r="T63" i="14"/>
  <c r="T96" i="14"/>
  <c r="T97" i="14"/>
  <c r="T130" i="14"/>
  <c r="T131" i="14"/>
  <c r="D160" i="14"/>
  <c r="D141" i="14"/>
  <c r="F12" i="5"/>
  <c r="T19" i="14"/>
  <c r="T20" i="14"/>
  <c r="T53" i="14"/>
  <c r="T54" i="14"/>
  <c r="T87" i="14"/>
  <c r="T88" i="14"/>
  <c r="T121" i="14"/>
  <c r="T122" i="14"/>
  <c r="D152" i="14"/>
  <c r="D154" i="14"/>
  <c r="D140" i="14"/>
  <c r="F11" i="5"/>
  <c r="F14" i="5"/>
  <c r="F15" i="5"/>
  <c r="M15" i="5"/>
  <c r="C62" i="17"/>
  <c r="C63" i="17"/>
  <c r="C41" i="17"/>
  <c r="D62" i="17"/>
  <c r="D63" i="17"/>
  <c r="D41" i="17"/>
  <c r="D12" i="5"/>
  <c r="C53" i="17"/>
  <c r="C54" i="17"/>
  <c r="C56" i="17"/>
  <c r="C40" i="17"/>
  <c r="D53" i="17"/>
  <c r="D54" i="17"/>
  <c r="D56" i="17"/>
  <c r="D40" i="17"/>
  <c r="D11" i="5"/>
  <c r="D14" i="5"/>
  <c r="D15" i="5"/>
  <c r="K15" i="5"/>
  <c r="C24" i="16"/>
  <c r="F18" i="5"/>
  <c r="G18" i="5"/>
  <c r="H18" i="5"/>
  <c r="I18" i="5"/>
  <c r="E18" i="5"/>
  <c r="F7" i="23"/>
  <c r="G7" i="23"/>
  <c r="H7" i="23"/>
  <c r="I7" i="23"/>
  <c r="E7" i="23"/>
  <c r="I5" i="23"/>
  <c r="H5" i="23"/>
  <c r="G5" i="23"/>
  <c r="F5" i="23"/>
  <c r="D51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5" i="15"/>
  <c r="D46" i="15"/>
  <c r="D49" i="15"/>
  <c r="D50" i="15"/>
  <c r="C51" i="15"/>
  <c r="K8" i="20"/>
  <c r="L8" i="20"/>
  <c r="M8" i="20"/>
  <c r="N8" i="20"/>
  <c r="O8" i="20"/>
  <c r="C16" i="20"/>
  <c r="D16" i="20"/>
  <c r="D17" i="20"/>
  <c r="T36" i="2"/>
  <c r="T38" i="2"/>
  <c r="T8" i="2"/>
  <c r="E42" i="21"/>
  <c r="F30" i="13"/>
  <c r="F30" i="20"/>
  <c r="F83" i="2"/>
  <c r="F85" i="2"/>
  <c r="G30" i="20"/>
  <c r="G83" i="2"/>
  <c r="G85" i="2"/>
  <c r="H30" i="20"/>
  <c r="H83" i="2"/>
  <c r="H85" i="2"/>
  <c r="I30" i="20"/>
  <c r="I83" i="2"/>
  <c r="I85" i="2"/>
  <c r="J30" i="20"/>
  <c r="J83" i="2"/>
  <c r="J85" i="2"/>
  <c r="K30" i="20"/>
  <c r="K83" i="2"/>
  <c r="K85" i="2"/>
  <c r="L30" i="20"/>
  <c r="L83" i="2"/>
  <c r="L85" i="2"/>
  <c r="M30" i="20"/>
  <c r="M83" i="2"/>
  <c r="M85" i="2"/>
  <c r="N30" i="20"/>
  <c r="N83" i="2"/>
  <c r="N85" i="2"/>
  <c r="O85" i="2"/>
  <c r="T85" i="2"/>
  <c r="T55" i="2"/>
  <c r="E46" i="21"/>
  <c r="F81" i="13"/>
  <c r="T29" i="2"/>
  <c r="T30" i="2"/>
  <c r="T7" i="2"/>
  <c r="E41" i="21"/>
  <c r="C76" i="2"/>
  <c r="C77" i="2"/>
  <c r="D76" i="2"/>
  <c r="D77" i="2"/>
  <c r="E76" i="2"/>
  <c r="E77" i="2"/>
  <c r="F76" i="2"/>
  <c r="F77" i="2"/>
  <c r="G76" i="2"/>
  <c r="G77" i="2"/>
  <c r="H76" i="2"/>
  <c r="H77" i="2"/>
  <c r="I76" i="2"/>
  <c r="I77" i="2"/>
  <c r="J76" i="2"/>
  <c r="J77" i="2"/>
  <c r="K76" i="2"/>
  <c r="K77" i="2"/>
  <c r="L76" i="2"/>
  <c r="L77" i="2"/>
  <c r="M76" i="2"/>
  <c r="M77" i="2"/>
  <c r="N76" i="2"/>
  <c r="N77" i="2"/>
  <c r="O77" i="2"/>
  <c r="T54" i="2"/>
  <c r="E45" i="21"/>
  <c r="F94" i="13"/>
  <c r="C119" i="2"/>
  <c r="C120" i="2"/>
  <c r="D119" i="2"/>
  <c r="D120" i="2"/>
  <c r="E119" i="2"/>
  <c r="E120" i="2"/>
  <c r="F119" i="2"/>
  <c r="F120" i="2"/>
  <c r="G119" i="2"/>
  <c r="G120" i="2"/>
  <c r="H119" i="2"/>
  <c r="H120" i="2"/>
  <c r="I119" i="2"/>
  <c r="I120" i="2"/>
  <c r="J119" i="2"/>
  <c r="J120" i="2"/>
  <c r="K119" i="2"/>
  <c r="K120" i="2"/>
  <c r="L119" i="2"/>
  <c r="L120" i="2"/>
  <c r="M119" i="2"/>
  <c r="M120" i="2"/>
  <c r="N119" i="2"/>
  <c r="N120" i="2"/>
  <c r="O120" i="2"/>
  <c r="T97" i="2"/>
  <c r="E49" i="21"/>
  <c r="F107" i="13"/>
  <c r="C162" i="2"/>
  <c r="C163" i="2"/>
  <c r="D162" i="2"/>
  <c r="D163" i="2"/>
  <c r="E162" i="2"/>
  <c r="E163" i="2"/>
  <c r="F162" i="2"/>
  <c r="F163" i="2"/>
  <c r="G162" i="2"/>
  <c r="G163" i="2"/>
  <c r="H162" i="2"/>
  <c r="H163" i="2"/>
  <c r="I162" i="2"/>
  <c r="I163" i="2"/>
  <c r="J162" i="2"/>
  <c r="J163" i="2"/>
  <c r="K162" i="2"/>
  <c r="K163" i="2"/>
  <c r="L162" i="2"/>
  <c r="L163" i="2"/>
  <c r="M162" i="2"/>
  <c r="M163" i="2"/>
  <c r="N162" i="2"/>
  <c r="N163" i="2"/>
  <c r="O163" i="2"/>
  <c r="T140" i="2"/>
  <c r="E53" i="21"/>
  <c r="E56" i="21"/>
  <c r="E16" i="20"/>
  <c r="E17" i="20"/>
  <c r="U36" i="2"/>
  <c r="U38" i="2"/>
  <c r="U8" i="2"/>
  <c r="F42" i="21"/>
  <c r="G44" i="13"/>
  <c r="C51" i="20"/>
  <c r="D51" i="20"/>
  <c r="E51" i="20"/>
  <c r="F51" i="20"/>
  <c r="G51" i="20"/>
  <c r="H51" i="20"/>
  <c r="I51" i="20"/>
  <c r="J51" i="20"/>
  <c r="K51" i="20"/>
  <c r="L51" i="20"/>
  <c r="M51" i="20"/>
  <c r="N51" i="20"/>
  <c r="O51" i="20"/>
  <c r="E59" i="20"/>
  <c r="U126" i="2"/>
  <c r="U128" i="2"/>
  <c r="U98" i="2"/>
  <c r="F50" i="21"/>
  <c r="G58" i="13"/>
  <c r="C72" i="20"/>
  <c r="C169" i="2"/>
  <c r="C171" i="2"/>
  <c r="D72" i="20"/>
  <c r="D169" i="2"/>
  <c r="D171" i="2"/>
  <c r="E72" i="20"/>
  <c r="E169" i="2"/>
  <c r="E171" i="2"/>
  <c r="F72" i="20"/>
  <c r="F169" i="2"/>
  <c r="F171" i="2"/>
  <c r="G72" i="20"/>
  <c r="G169" i="2"/>
  <c r="G171" i="2"/>
  <c r="H72" i="20"/>
  <c r="H169" i="2"/>
  <c r="H171" i="2"/>
  <c r="I72" i="20"/>
  <c r="I169" i="2"/>
  <c r="I171" i="2"/>
  <c r="J72" i="20"/>
  <c r="J169" i="2"/>
  <c r="J171" i="2"/>
  <c r="K72" i="20"/>
  <c r="K169" i="2"/>
  <c r="K171" i="2"/>
  <c r="L72" i="20"/>
  <c r="L169" i="2"/>
  <c r="L171" i="2"/>
  <c r="M72" i="20"/>
  <c r="M169" i="2"/>
  <c r="M171" i="2"/>
  <c r="N72" i="20"/>
  <c r="N169" i="2"/>
  <c r="N171" i="2"/>
  <c r="O171" i="2"/>
  <c r="U171" i="2"/>
  <c r="U141" i="2"/>
  <c r="F54" i="21"/>
  <c r="G81" i="13"/>
  <c r="U29" i="2"/>
  <c r="U30" i="2"/>
  <c r="U7" i="2"/>
  <c r="F41" i="21"/>
  <c r="U76" i="2"/>
  <c r="U77" i="2"/>
  <c r="U54" i="2"/>
  <c r="F45" i="21"/>
  <c r="G94" i="13"/>
  <c r="U119" i="2"/>
  <c r="U120" i="2"/>
  <c r="U97" i="2"/>
  <c r="F49" i="21"/>
  <c r="G107" i="13"/>
  <c r="U162" i="2"/>
  <c r="U163" i="2"/>
  <c r="U140" i="2"/>
  <c r="F53" i="21"/>
  <c r="F56" i="21"/>
  <c r="F16" i="20"/>
  <c r="F17" i="20"/>
  <c r="V36" i="2"/>
  <c r="V38" i="2"/>
  <c r="V8" i="2"/>
  <c r="G42" i="21"/>
  <c r="H81" i="13"/>
  <c r="V29" i="2"/>
  <c r="V30" i="2"/>
  <c r="V7" i="2"/>
  <c r="G41" i="21"/>
  <c r="V76" i="2"/>
  <c r="V77" i="2"/>
  <c r="V54" i="2"/>
  <c r="G45" i="21"/>
  <c r="H94" i="13"/>
  <c r="V119" i="2"/>
  <c r="V120" i="2"/>
  <c r="V97" i="2"/>
  <c r="G49" i="21"/>
  <c r="H107" i="13"/>
  <c r="V162" i="2"/>
  <c r="V163" i="2"/>
  <c r="V140" i="2"/>
  <c r="G53" i="21"/>
  <c r="G56" i="21"/>
  <c r="G16" i="20"/>
  <c r="G17" i="20"/>
  <c r="W36" i="2"/>
  <c r="W38" i="2"/>
  <c r="W8" i="2"/>
  <c r="H42" i="21"/>
  <c r="I81" i="13"/>
  <c r="W29" i="2"/>
  <c r="W30" i="2"/>
  <c r="W7" i="2"/>
  <c r="H41" i="21"/>
  <c r="W76" i="2"/>
  <c r="W77" i="2"/>
  <c r="W54" i="2"/>
  <c r="H45" i="21"/>
  <c r="I94" i="13"/>
  <c r="W119" i="2"/>
  <c r="W120" i="2"/>
  <c r="W97" i="2"/>
  <c r="H49" i="21"/>
  <c r="T162" i="2"/>
  <c r="T163" i="2"/>
  <c r="I107" i="13"/>
  <c r="W162" i="2"/>
  <c r="W163" i="2"/>
  <c r="X163" i="2"/>
  <c r="W140" i="2"/>
  <c r="H53" i="21"/>
  <c r="H56" i="21"/>
  <c r="K9" i="20"/>
  <c r="K36" i="2"/>
  <c r="K38" i="2"/>
  <c r="L9" i="20"/>
  <c r="L36" i="2"/>
  <c r="L38" i="2"/>
  <c r="M9" i="20"/>
  <c r="M36" i="2"/>
  <c r="M38" i="2"/>
  <c r="N9" i="20"/>
  <c r="N36" i="2"/>
  <c r="N38" i="2"/>
  <c r="O38" i="2"/>
  <c r="O8" i="2"/>
  <c r="S8" i="2"/>
  <c r="D42" i="21"/>
  <c r="C29" i="2"/>
  <c r="C30" i="2"/>
  <c r="D29" i="2"/>
  <c r="D30" i="2"/>
  <c r="E29" i="2"/>
  <c r="E30" i="2"/>
  <c r="F29" i="2"/>
  <c r="F30" i="2"/>
  <c r="G29" i="2"/>
  <c r="G30" i="2"/>
  <c r="H29" i="2"/>
  <c r="H30" i="2"/>
  <c r="I29" i="2"/>
  <c r="I30" i="2"/>
  <c r="J29" i="2"/>
  <c r="J30" i="2"/>
  <c r="K29" i="2"/>
  <c r="K30" i="2"/>
  <c r="L29" i="2"/>
  <c r="L30" i="2"/>
  <c r="M29" i="2"/>
  <c r="M30" i="2"/>
  <c r="N29" i="2"/>
  <c r="N30" i="2"/>
  <c r="O30" i="2"/>
  <c r="S7" i="2"/>
  <c r="D41" i="21"/>
  <c r="D56" i="21"/>
  <c r="E54" i="21"/>
  <c r="G54" i="21"/>
  <c r="H54" i="21"/>
  <c r="D53" i="21"/>
  <c r="D54" i="21"/>
  <c r="E52" i="21"/>
  <c r="F52" i="21"/>
  <c r="G52" i="21"/>
  <c r="H52" i="21"/>
  <c r="D52" i="21"/>
  <c r="E50" i="21"/>
  <c r="G50" i="21"/>
  <c r="H50" i="21"/>
  <c r="D49" i="21"/>
  <c r="D50" i="21"/>
  <c r="E48" i="21"/>
  <c r="F48" i="21"/>
  <c r="G48" i="21"/>
  <c r="H48" i="21"/>
  <c r="D48" i="21"/>
  <c r="F46" i="21"/>
  <c r="G46" i="21"/>
  <c r="H46" i="21"/>
  <c r="D45" i="21"/>
  <c r="D46" i="21"/>
  <c r="E44" i="21"/>
  <c r="F44" i="21"/>
  <c r="G44" i="21"/>
  <c r="H44" i="21"/>
  <c r="D44" i="21"/>
  <c r="E40" i="21"/>
  <c r="F40" i="21"/>
  <c r="G40" i="21"/>
  <c r="H40" i="21"/>
  <c r="D40" i="21"/>
  <c r="E38" i="21"/>
  <c r="F38" i="21"/>
  <c r="G38" i="21"/>
  <c r="H38" i="21"/>
  <c r="D38" i="21"/>
  <c r="E23" i="21"/>
  <c r="F23" i="21"/>
  <c r="G23" i="21"/>
  <c r="H23" i="21"/>
  <c r="D23" i="21"/>
  <c r="E22" i="21"/>
  <c r="F22" i="21"/>
  <c r="G22" i="21"/>
  <c r="H22" i="21"/>
  <c r="D22" i="21"/>
  <c r="E21" i="21"/>
  <c r="F21" i="21"/>
  <c r="G21" i="21"/>
  <c r="H21" i="21"/>
  <c r="D21" i="21"/>
  <c r="C21" i="21"/>
  <c r="C22" i="21"/>
  <c r="C23" i="21"/>
  <c r="C20" i="21"/>
  <c r="I55" i="17"/>
  <c r="I74" i="17"/>
  <c r="E74" i="17"/>
  <c r="F74" i="17"/>
  <c r="G74" i="17"/>
  <c r="H74" i="17"/>
  <c r="J55" i="17"/>
  <c r="J74" i="17"/>
  <c r="K55" i="17"/>
  <c r="K74" i="17"/>
  <c r="L55" i="17"/>
  <c r="L74" i="17"/>
  <c r="D20" i="21"/>
  <c r="E20" i="21"/>
  <c r="F20" i="21"/>
  <c r="G20" i="21"/>
  <c r="H20" i="21"/>
  <c r="E19" i="21"/>
  <c r="F19" i="21"/>
  <c r="G19" i="21"/>
  <c r="H19" i="21"/>
  <c r="D19" i="21"/>
  <c r="E8" i="21"/>
  <c r="F8" i="21"/>
  <c r="G8" i="21"/>
  <c r="H8" i="21"/>
  <c r="D8" i="21"/>
  <c r="C8" i="21"/>
  <c r="E7" i="21"/>
  <c r="F7" i="21"/>
  <c r="G7" i="21"/>
  <c r="H7" i="21"/>
  <c r="D7" i="21"/>
  <c r="C7" i="21"/>
  <c r="E6" i="21"/>
  <c r="F6" i="21"/>
  <c r="G6" i="21"/>
  <c r="H6" i="21"/>
  <c r="D6" i="21"/>
  <c r="C6" i="21"/>
  <c r="E5" i="21"/>
  <c r="F5" i="21"/>
  <c r="G5" i="21"/>
  <c r="H5" i="21"/>
  <c r="D5" i="21"/>
  <c r="C5" i="21"/>
  <c r="D4" i="21"/>
  <c r="E4" i="21"/>
  <c r="F4" i="21"/>
  <c r="G4" i="21"/>
  <c r="H4" i="21"/>
  <c r="C181" i="2"/>
  <c r="E29" i="17"/>
  <c r="F29" i="17"/>
  <c r="G29" i="17"/>
  <c r="H29" i="17"/>
  <c r="I29" i="17"/>
  <c r="J29" i="17"/>
  <c r="K29" i="17"/>
  <c r="L29" i="17"/>
  <c r="C182" i="2"/>
  <c r="E9" i="5"/>
  <c r="E13" i="5"/>
  <c r="H7" i="5"/>
  <c r="F201" i="2"/>
  <c r="F181" i="2"/>
  <c r="H8" i="5"/>
  <c r="F182" i="2"/>
  <c r="H9" i="5"/>
  <c r="H10" i="5"/>
  <c r="H13" i="5"/>
  <c r="H17" i="5"/>
  <c r="H19" i="5"/>
  <c r="H21" i="5"/>
  <c r="H22" i="5"/>
  <c r="H24" i="5"/>
  <c r="H26" i="5"/>
  <c r="H27" i="5"/>
  <c r="H28" i="5"/>
  <c r="I7" i="5"/>
  <c r="G201" i="2"/>
  <c r="G181" i="2"/>
  <c r="I8" i="5"/>
  <c r="G182" i="2"/>
  <c r="I9" i="5"/>
  <c r="I10" i="5"/>
  <c r="I13" i="5"/>
  <c r="I17" i="5"/>
  <c r="I19" i="5"/>
  <c r="I21" i="5"/>
  <c r="I22" i="5"/>
  <c r="I24" i="5"/>
  <c r="I26" i="5"/>
  <c r="I27" i="5"/>
  <c r="I28" i="5"/>
  <c r="G7" i="5"/>
  <c r="E201" i="2"/>
  <c r="E181" i="2"/>
  <c r="G8" i="5"/>
  <c r="E182" i="2"/>
  <c r="G9" i="5"/>
  <c r="G10" i="5"/>
  <c r="G13" i="5"/>
  <c r="G17" i="5"/>
  <c r="G19" i="5"/>
  <c r="G21" i="5"/>
  <c r="G22" i="5"/>
  <c r="G24" i="5"/>
  <c r="G26" i="5"/>
  <c r="G27" i="5"/>
  <c r="G28" i="5"/>
  <c r="F7" i="5"/>
  <c r="T76" i="2"/>
  <c r="T77" i="2"/>
  <c r="T119" i="2"/>
  <c r="T120" i="2"/>
  <c r="D201" i="2"/>
  <c r="D181" i="2"/>
  <c r="F8" i="5"/>
  <c r="D182" i="2"/>
  <c r="F9" i="5"/>
  <c r="F10" i="5"/>
  <c r="F13" i="5"/>
  <c r="F19" i="5"/>
  <c r="F17" i="5"/>
  <c r="F21" i="5"/>
  <c r="E5" i="5"/>
  <c r="D5" i="5"/>
  <c r="N61" i="17"/>
  <c r="J13" i="5"/>
  <c r="O83" i="2"/>
  <c r="T83" i="2"/>
  <c r="D207" i="2"/>
  <c r="D209" i="2"/>
  <c r="O169" i="2"/>
  <c r="U169" i="2"/>
  <c r="E207" i="2"/>
  <c r="E209" i="2"/>
  <c r="F207" i="2"/>
  <c r="F209" i="2"/>
  <c r="G207" i="2"/>
  <c r="G209" i="2"/>
  <c r="O36" i="2"/>
  <c r="S36" i="2"/>
  <c r="C207" i="2"/>
  <c r="C209" i="2"/>
  <c r="F208" i="2"/>
  <c r="G208" i="2"/>
  <c r="E208" i="2"/>
  <c r="D208" i="2"/>
  <c r="C208" i="2"/>
  <c r="W35" i="2"/>
  <c r="G206" i="2"/>
  <c r="V35" i="2"/>
  <c r="F206" i="2"/>
  <c r="U35" i="2"/>
  <c r="E206" i="2"/>
  <c r="T35" i="2"/>
  <c r="D206" i="2"/>
  <c r="N35" i="2"/>
  <c r="O35" i="2"/>
  <c r="S35" i="2"/>
  <c r="C206" i="2"/>
  <c r="V126" i="2"/>
  <c r="W126" i="2"/>
  <c r="V125" i="2"/>
  <c r="W125" i="2"/>
  <c r="U125" i="2"/>
  <c r="W169" i="2"/>
  <c r="W168" i="2"/>
  <c r="W170" i="2"/>
  <c r="V170" i="2"/>
  <c r="V169" i="2"/>
  <c r="V168" i="2"/>
  <c r="C170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U168" i="2"/>
  <c r="C168" i="2"/>
  <c r="D170" i="2"/>
  <c r="X168" i="2"/>
  <c r="V127" i="2"/>
  <c r="V128" i="2"/>
  <c r="V98" i="2"/>
  <c r="W127" i="2"/>
  <c r="U127" i="2"/>
  <c r="X125" i="2"/>
  <c r="C127" i="2"/>
  <c r="D127" i="2"/>
  <c r="E127" i="2"/>
  <c r="D126" i="2"/>
  <c r="E126" i="2"/>
  <c r="F126" i="2"/>
  <c r="G126" i="2"/>
  <c r="H126" i="2"/>
  <c r="I126" i="2"/>
  <c r="J126" i="2"/>
  <c r="K126" i="2"/>
  <c r="L126" i="2"/>
  <c r="M126" i="2"/>
  <c r="N126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C126" i="2"/>
  <c r="C125" i="2"/>
  <c r="V83" i="2"/>
  <c r="V85" i="2"/>
  <c r="V55" i="2"/>
  <c r="W83" i="2"/>
  <c r="W85" i="2"/>
  <c r="W55" i="2"/>
  <c r="U83" i="2"/>
  <c r="U85" i="2"/>
  <c r="U55" i="2"/>
  <c r="V82" i="2"/>
  <c r="W82" i="2"/>
  <c r="X82" i="2"/>
  <c r="U82" i="2"/>
  <c r="F84" i="2"/>
  <c r="G84" i="2"/>
  <c r="O30" i="20"/>
  <c r="G82" i="2"/>
  <c r="H82" i="2"/>
  <c r="I82" i="2"/>
  <c r="J82" i="2"/>
  <c r="K82" i="2"/>
  <c r="L82" i="2"/>
  <c r="M82" i="2"/>
  <c r="N82" i="2"/>
  <c r="O82" i="2"/>
  <c r="T82" i="2"/>
  <c r="F82" i="2"/>
  <c r="E85" i="2"/>
  <c r="D85" i="2"/>
  <c r="C85" i="2"/>
  <c r="X35" i="2"/>
  <c r="L35" i="2"/>
  <c r="M35" i="2"/>
  <c r="K35" i="2"/>
  <c r="K37" i="2"/>
  <c r="L37" i="2"/>
  <c r="M37" i="2"/>
  <c r="N37" i="2"/>
  <c r="F70" i="13"/>
  <c r="G70" i="13"/>
  <c r="H70" i="13"/>
  <c r="I70" i="13"/>
  <c r="E70" i="13"/>
  <c r="F83" i="13"/>
  <c r="I16" i="13"/>
  <c r="H16" i="13"/>
  <c r="G16" i="13"/>
  <c r="F16" i="13"/>
  <c r="I30" i="13"/>
  <c r="V171" i="2"/>
  <c r="V141" i="2"/>
  <c r="W128" i="2"/>
  <c r="W98" i="2"/>
  <c r="X98" i="2"/>
  <c r="W171" i="2"/>
  <c r="W141" i="2"/>
  <c r="E170" i="2"/>
  <c r="O126" i="2"/>
  <c r="E128" i="2"/>
  <c r="F127" i="2"/>
  <c r="D128" i="2"/>
  <c r="C128" i="2"/>
  <c r="F55" i="2"/>
  <c r="X126" i="2"/>
  <c r="X83" i="2"/>
  <c r="G55" i="2"/>
  <c r="H84" i="2"/>
  <c r="X36" i="2"/>
  <c r="F85" i="13"/>
  <c r="G96" i="13"/>
  <c r="H30" i="13"/>
  <c r="I44" i="13"/>
  <c r="I58" i="13"/>
  <c r="G30" i="13"/>
  <c r="H44" i="13"/>
  <c r="H58" i="13"/>
  <c r="I72" i="13"/>
  <c r="E72" i="13"/>
  <c r="X169" i="2"/>
  <c r="F170" i="2"/>
  <c r="F128" i="2"/>
  <c r="G127" i="2"/>
  <c r="I84" i="2"/>
  <c r="H55" i="2"/>
  <c r="S38" i="2"/>
  <c r="H72" i="13"/>
  <c r="I83" i="13"/>
  <c r="I85" i="13"/>
  <c r="G72" i="13"/>
  <c r="H83" i="13"/>
  <c r="F72" i="13"/>
  <c r="G83" i="13"/>
  <c r="G98" i="13"/>
  <c r="G109" i="13"/>
  <c r="G111" i="13"/>
  <c r="G170" i="2"/>
  <c r="H127" i="2"/>
  <c r="G128" i="2"/>
  <c r="J84" i="2"/>
  <c r="H85" i="13"/>
  <c r="I96" i="13"/>
  <c r="H96" i="13"/>
  <c r="G85" i="13"/>
  <c r="H170" i="2"/>
  <c r="I127" i="2"/>
  <c r="H128" i="2"/>
  <c r="K84" i="2"/>
  <c r="J55" i="2"/>
  <c r="I55" i="2"/>
  <c r="I109" i="13"/>
  <c r="I111" i="13"/>
  <c r="I98" i="13"/>
  <c r="H109" i="13"/>
  <c r="H111" i="13"/>
  <c r="H98" i="13"/>
  <c r="I170" i="2"/>
  <c r="J127" i="2"/>
  <c r="I128" i="2"/>
  <c r="L84" i="2"/>
  <c r="J170" i="2"/>
  <c r="K127" i="2"/>
  <c r="J128" i="2"/>
  <c r="M84" i="2"/>
  <c r="L55" i="2"/>
  <c r="K55" i="2"/>
  <c r="C35" i="20"/>
  <c r="D27" i="20"/>
  <c r="E27" i="20"/>
  <c r="C27" i="20"/>
  <c r="C6" i="20"/>
  <c r="D6" i="20"/>
  <c r="E6" i="20"/>
  <c r="F6" i="20"/>
  <c r="G6" i="20"/>
  <c r="H6" i="20"/>
  <c r="I6" i="20"/>
  <c r="J6" i="20"/>
  <c r="K170" i="2"/>
  <c r="L127" i="2"/>
  <c r="K128" i="2"/>
  <c r="N84" i="2"/>
  <c r="M55" i="2"/>
  <c r="D23" i="5"/>
  <c r="D19" i="5"/>
  <c r="D17" i="5"/>
  <c r="D21" i="5"/>
  <c r="L170" i="2"/>
  <c r="M127" i="2"/>
  <c r="L128" i="2"/>
  <c r="N55" i="2"/>
  <c r="O55" i="2"/>
  <c r="N93" i="17"/>
  <c r="M93" i="17"/>
  <c r="L93" i="17"/>
  <c r="K93" i="17"/>
  <c r="J93" i="17"/>
  <c r="I93" i="17"/>
  <c r="H93" i="17"/>
  <c r="G93" i="17"/>
  <c r="F93" i="17"/>
  <c r="E93" i="17"/>
  <c r="D93" i="17"/>
  <c r="C93" i="17"/>
  <c r="N92" i="17"/>
  <c r="M91" i="17"/>
  <c r="N91" i="17"/>
  <c r="D84" i="17"/>
  <c r="E84" i="17"/>
  <c r="F84" i="17"/>
  <c r="G84" i="17"/>
  <c r="H84" i="17"/>
  <c r="I84" i="17"/>
  <c r="J84" i="17"/>
  <c r="K84" i="17"/>
  <c r="L84" i="17"/>
  <c r="C84" i="17"/>
  <c r="N83" i="17"/>
  <c r="N75" i="17"/>
  <c r="D74" i="17"/>
  <c r="M74" i="17"/>
  <c r="C74" i="17"/>
  <c r="D52" i="17"/>
  <c r="M52" i="17"/>
  <c r="D49" i="17"/>
  <c r="M49" i="17"/>
  <c r="C49" i="17"/>
  <c r="D55" i="17"/>
  <c r="M55" i="17"/>
  <c r="C55" i="17"/>
  <c r="N62" i="17"/>
  <c r="M62" i="17"/>
  <c r="M61" i="17"/>
  <c r="D61" i="17"/>
  <c r="N53" i="17"/>
  <c r="M53" i="17"/>
  <c r="M54" i="17"/>
  <c r="N50" i="17"/>
  <c r="M50" i="17"/>
  <c r="M51" i="17"/>
  <c r="L50" i="17"/>
  <c r="K50" i="17"/>
  <c r="J50" i="17"/>
  <c r="I50" i="17"/>
  <c r="H50" i="17"/>
  <c r="G50" i="17"/>
  <c r="F50" i="17"/>
  <c r="E50" i="17"/>
  <c r="D50" i="17"/>
  <c r="D51" i="17"/>
  <c r="C50" i="17"/>
  <c r="C51" i="17"/>
  <c r="N22" i="17"/>
  <c r="D16" i="17"/>
  <c r="C16" i="17"/>
  <c r="N17" i="17"/>
  <c r="N20" i="17"/>
  <c r="N29" i="17"/>
  <c r="D29" i="17"/>
  <c r="C29" i="17"/>
  <c r="M28" i="17"/>
  <c r="M30" i="17"/>
  <c r="M8" i="17"/>
  <c r="D28" i="17"/>
  <c r="C28" i="17"/>
  <c r="L20" i="17"/>
  <c r="K20" i="17"/>
  <c r="J20" i="17"/>
  <c r="I20" i="17"/>
  <c r="H20" i="17"/>
  <c r="G20" i="17"/>
  <c r="F20" i="17"/>
  <c r="E20" i="17"/>
  <c r="D20" i="17"/>
  <c r="D21" i="17"/>
  <c r="C20" i="17"/>
  <c r="M7" i="17"/>
  <c r="L17" i="17"/>
  <c r="K17" i="17"/>
  <c r="J17" i="17"/>
  <c r="I17" i="17"/>
  <c r="H17" i="17"/>
  <c r="G17" i="17"/>
  <c r="F17" i="17"/>
  <c r="E17" i="17"/>
  <c r="D17" i="17"/>
  <c r="C17" i="17"/>
  <c r="C18" i="17"/>
  <c r="X85" i="2"/>
  <c r="M170" i="2"/>
  <c r="N127" i="2"/>
  <c r="N128" i="2"/>
  <c r="M128" i="2"/>
  <c r="N74" i="17"/>
  <c r="N28" i="17"/>
  <c r="N16" i="17"/>
  <c r="N18" i="17"/>
  <c r="D18" i="17"/>
  <c r="D23" i="17"/>
  <c r="D7" i="17"/>
  <c r="I42" i="17"/>
  <c r="M56" i="17"/>
  <c r="M40" i="17"/>
  <c r="M63" i="17"/>
  <c r="C61" i="17"/>
  <c r="M9" i="17"/>
  <c r="C30" i="17"/>
  <c r="D30" i="17"/>
  <c r="D8" i="17"/>
  <c r="X55" i="2"/>
  <c r="N170" i="2"/>
  <c r="O128" i="2"/>
  <c r="X128" i="2"/>
  <c r="H42" i="17"/>
  <c r="L42" i="17"/>
  <c r="E9" i="17"/>
  <c r="F42" i="17"/>
  <c r="J42" i="17"/>
  <c r="K9" i="17"/>
  <c r="M41" i="17"/>
  <c r="M82" i="17"/>
  <c r="K42" i="17"/>
  <c r="L9" i="17"/>
  <c r="G42" i="17"/>
  <c r="E42" i="17"/>
  <c r="J9" i="17"/>
  <c r="G9" i="17"/>
  <c r="D42" i="17"/>
  <c r="N49" i="17"/>
  <c r="N51" i="17"/>
  <c r="N30" i="17"/>
  <c r="H9" i="17"/>
  <c r="M42" i="17"/>
  <c r="F9" i="17"/>
  <c r="D9" i="17"/>
  <c r="I9" i="17"/>
  <c r="C8" i="17"/>
  <c r="U170" i="2"/>
  <c r="D8" i="5"/>
  <c r="N8" i="17"/>
  <c r="M84" i="17"/>
  <c r="N82" i="17"/>
  <c r="N84" i="17"/>
  <c r="S28" i="14"/>
  <c r="S19" i="14"/>
  <c r="S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J123" i="14"/>
  <c r="J129" i="14"/>
  <c r="I123" i="14"/>
  <c r="I129" i="14"/>
  <c r="H123" i="14"/>
  <c r="G123" i="14"/>
  <c r="G117" i="14"/>
  <c r="F123" i="14"/>
  <c r="F129" i="14"/>
  <c r="E123" i="14"/>
  <c r="E129" i="14"/>
  <c r="D123" i="14"/>
  <c r="D129" i="14"/>
  <c r="C123" i="14"/>
  <c r="C120" i="14"/>
  <c r="J120" i="14"/>
  <c r="I120" i="14"/>
  <c r="E120" i="14"/>
  <c r="D120" i="14"/>
  <c r="I117" i="14"/>
  <c r="H117" i="14"/>
  <c r="E117" i="14"/>
  <c r="D117" i="14"/>
  <c r="E95" i="14"/>
  <c r="J89" i="14"/>
  <c r="J83" i="14"/>
  <c r="I89" i="14"/>
  <c r="H89" i="14"/>
  <c r="H95" i="14"/>
  <c r="G89" i="14"/>
  <c r="G95" i="14"/>
  <c r="F89" i="14"/>
  <c r="F95" i="14"/>
  <c r="E89" i="14"/>
  <c r="D89" i="14"/>
  <c r="D95" i="14"/>
  <c r="C89" i="14"/>
  <c r="C95" i="14"/>
  <c r="E86" i="14"/>
  <c r="D86" i="14"/>
  <c r="I83" i="14"/>
  <c r="E83" i="14"/>
  <c r="D83" i="14"/>
  <c r="E55" i="14"/>
  <c r="E61" i="14"/>
  <c r="D55" i="14"/>
  <c r="D49" i="14"/>
  <c r="C55" i="14"/>
  <c r="C49" i="14"/>
  <c r="J21" i="14"/>
  <c r="J27" i="14"/>
  <c r="I21" i="14"/>
  <c r="I27" i="14"/>
  <c r="H21" i="14"/>
  <c r="H27" i="14"/>
  <c r="G21" i="14"/>
  <c r="G27" i="14"/>
  <c r="F21" i="14"/>
  <c r="F27" i="14"/>
  <c r="E21" i="14"/>
  <c r="E27" i="14"/>
  <c r="D21" i="14"/>
  <c r="D27" i="14"/>
  <c r="C21" i="14"/>
  <c r="C27" i="14"/>
  <c r="J18" i="14"/>
  <c r="I18" i="14"/>
  <c r="H18" i="14"/>
  <c r="G18" i="14"/>
  <c r="F18" i="14"/>
  <c r="D18" i="14"/>
  <c r="I15" i="14"/>
  <c r="H15" i="14"/>
  <c r="E15" i="14"/>
  <c r="D15" i="14"/>
  <c r="O105" i="13"/>
  <c r="P105" i="13"/>
  <c r="Q105" i="13"/>
  <c r="R105" i="13"/>
  <c r="W118" i="14"/>
  <c r="O92" i="13"/>
  <c r="P92" i="13"/>
  <c r="Q92" i="13"/>
  <c r="R92" i="13"/>
  <c r="W84" i="14"/>
  <c r="O79" i="13"/>
  <c r="P79" i="13"/>
  <c r="Q79" i="13"/>
  <c r="R79" i="13"/>
  <c r="W50" i="14"/>
  <c r="O66" i="13"/>
  <c r="P66" i="13"/>
  <c r="Q66" i="13"/>
  <c r="R66" i="13"/>
  <c r="W16" i="14"/>
  <c r="J155" i="2"/>
  <c r="J149" i="2"/>
  <c r="I155" i="2"/>
  <c r="I152" i="2"/>
  <c r="H155" i="2"/>
  <c r="H152" i="2"/>
  <c r="G155" i="2"/>
  <c r="G152" i="2"/>
  <c r="F155" i="2"/>
  <c r="F152" i="2"/>
  <c r="E155" i="2"/>
  <c r="E152" i="2"/>
  <c r="D155" i="2"/>
  <c r="D149" i="2"/>
  <c r="C155" i="2"/>
  <c r="C152" i="2"/>
  <c r="J112" i="2"/>
  <c r="J109" i="2"/>
  <c r="I112" i="2"/>
  <c r="I109" i="2"/>
  <c r="H112" i="2"/>
  <c r="H109" i="2"/>
  <c r="G112" i="2"/>
  <c r="G109" i="2"/>
  <c r="F112" i="2"/>
  <c r="F106" i="2"/>
  <c r="E112" i="2"/>
  <c r="E109" i="2"/>
  <c r="D112" i="2"/>
  <c r="D106" i="2"/>
  <c r="C112" i="2"/>
  <c r="C118" i="2"/>
  <c r="E69" i="2"/>
  <c r="E63" i="2"/>
  <c r="D69" i="2"/>
  <c r="D66" i="2"/>
  <c r="C69" i="2"/>
  <c r="C66" i="2"/>
  <c r="S29" i="2"/>
  <c r="S20" i="2"/>
  <c r="S17" i="2"/>
  <c r="J38" i="2"/>
  <c r="I38" i="2"/>
  <c r="H38" i="2"/>
  <c r="G38" i="2"/>
  <c r="F38" i="2"/>
  <c r="E38" i="2"/>
  <c r="D38" i="2"/>
  <c r="N20" i="2"/>
  <c r="M20" i="2"/>
  <c r="L20" i="2"/>
  <c r="K20" i="2"/>
  <c r="J20" i="2"/>
  <c r="I20" i="2"/>
  <c r="H20" i="2"/>
  <c r="G20" i="2"/>
  <c r="F20" i="2"/>
  <c r="E20" i="2"/>
  <c r="D20" i="2"/>
  <c r="C20" i="2"/>
  <c r="N17" i="2"/>
  <c r="M17" i="2"/>
  <c r="L17" i="2"/>
  <c r="K17" i="2"/>
  <c r="J17" i="2"/>
  <c r="I17" i="2"/>
  <c r="H17" i="2"/>
  <c r="G17" i="2"/>
  <c r="F17" i="2"/>
  <c r="E17" i="2"/>
  <c r="D17" i="2"/>
  <c r="C17" i="2"/>
  <c r="J22" i="2"/>
  <c r="J16" i="2"/>
  <c r="I22" i="2"/>
  <c r="I19" i="2"/>
  <c r="H22" i="2"/>
  <c r="H16" i="2"/>
  <c r="G22" i="2"/>
  <c r="G19" i="2"/>
  <c r="F22" i="2"/>
  <c r="F19" i="2"/>
  <c r="E22" i="2"/>
  <c r="E19" i="2"/>
  <c r="D22" i="2"/>
  <c r="D19" i="2"/>
  <c r="C22" i="2"/>
  <c r="C28" i="2"/>
  <c r="F106" i="13"/>
  <c r="G106" i="13"/>
  <c r="H106" i="13"/>
  <c r="I106" i="13"/>
  <c r="W153" i="2"/>
  <c r="F105" i="13"/>
  <c r="G105" i="13"/>
  <c r="H105" i="13"/>
  <c r="I105" i="13"/>
  <c r="W150" i="2"/>
  <c r="F93" i="13"/>
  <c r="G93" i="13"/>
  <c r="H93" i="13"/>
  <c r="I93" i="13"/>
  <c r="W110" i="2"/>
  <c r="F92" i="13"/>
  <c r="G92" i="13"/>
  <c r="H92" i="13"/>
  <c r="I92" i="13"/>
  <c r="W107" i="2"/>
  <c r="F80" i="13"/>
  <c r="G80" i="13"/>
  <c r="H80" i="13"/>
  <c r="I80" i="13"/>
  <c r="W20" i="2"/>
  <c r="F79" i="13"/>
  <c r="G79" i="13"/>
  <c r="H79" i="13"/>
  <c r="I79" i="13"/>
  <c r="W17" i="2"/>
  <c r="F68" i="13"/>
  <c r="G68" i="13"/>
  <c r="H68" i="13"/>
  <c r="I68" i="13"/>
  <c r="F67" i="13"/>
  <c r="G67" i="13"/>
  <c r="H67" i="13"/>
  <c r="I67" i="13"/>
  <c r="F66" i="13"/>
  <c r="G66" i="13"/>
  <c r="H66" i="13"/>
  <c r="I66" i="13"/>
  <c r="D160" i="1"/>
  <c r="E160" i="1"/>
  <c r="F160" i="1"/>
  <c r="G160" i="1"/>
  <c r="H160" i="1"/>
  <c r="I160" i="1"/>
  <c r="J160" i="1"/>
  <c r="K160" i="1"/>
  <c r="L160" i="1"/>
  <c r="M160" i="1"/>
  <c r="N160" i="1"/>
  <c r="D159" i="1"/>
  <c r="E159" i="1"/>
  <c r="F159" i="1"/>
  <c r="G159" i="1"/>
  <c r="H159" i="1"/>
  <c r="I159" i="1"/>
  <c r="J159" i="1"/>
  <c r="K159" i="1"/>
  <c r="L159" i="1"/>
  <c r="M159" i="1"/>
  <c r="N159" i="1"/>
  <c r="C160" i="1"/>
  <c r="C159" i="1"/>
  <c r="D158" i="1"/>
  <c r="E158" i="1"/>
  <c r="F158" i="1"/>
  <c r="G158" i="1"/>
  <c r="H158" i="1"/>
  <c r="I158" i="1"/>
  <c r="J158" i="1"/>
  <c r="K158" i="1"/>
  <c r="L158" i="1"/>
  <c r="M158" i="1"/>
  <c r="N158" i="1"/>
  <c r="C158" i="1"/>
  <c r="D150" i="1"/>
  <c r="E150" i="1"/>
  <c r="F150" i="1"/>
  <c r="G150" i="1"/>
  <c r="H150" i="1"/>
  <c r="I150" i="1"/>
  <c r="J150" i="1"/>
  <c r="K150" i="1"/>
  <c r="L150" i="1"/>
  <c r="M150" i="1"/>
  <c r="N150" i="1"/>
  <c r="D149" i="1"/>
  <c r="E149" i="1"/>
  <c r="F149" i="1"/>
  <c r="G149" i="1"/>
  <c r="H149" i="1"/>
  <c r="I149" i="1"/>
  <c r="J149" i="1"/>
  <c r="K149" i="1"/>
  <c r="L149" i="1"/>
  <c r="M149" i="1"/>
  <c r="N149" i="1"/>
  <c r="C150" i="1"/>
  <c r="C149" i="1"/>
  <c r="D148" i="1"/>
  <c r="E148" i="1"/>
  <c r="F148" i="1"/>
  <c r="G148" i="1"/>
  <c r="H148" i="1"/>
  <c r="I148" i="1"/>
  <c r="J148" i="1"/>
  <c r="K148" i="1"/>
  <c r="L148" i="1"/>
  <c r="M148" i="1"/>
  <c r="N148" i="1"/>
  <c r="C148" i="1"/>
  <c r="D111" i="1"/>
  <c r="E111" i="1"/>
  <c r="F111" i="1"/>
  <c r="G111" i="1"/>
  <c r="H111" i="1"/>
  <c r="I111" i="1"/>
  <c r="J111" i="1"/>
  <c r="K111" i="1"/>
  <c r="L111" i="1"/>
  <c r="M111" i="1"/>
  <c r="N111" i="1"/>
  <c r="C111" i="1"/>
  <c r="D110" i="1"/>
  <c r="E110" i="1"/>
  <c r="F110" i="1"/>
  <c r="G110" i="1"/>
  <c r="H110" i="1"/>
  <c r="I110" i="1"/>
  <c r="J110" i="1"/>
  <c r="K110" i="1"/>
  <c r="L110" i="1"/>
  <c r="M110" i="1"/>
  <c r="N110" i="1"/>
  <c r="C110" i="1"/>
  <c r="D109" i="1"/>
  <c r="E109" i="1"/>
  <c r="F109" i="1"/>
  <c r="G109" i="1"/>
  <c r="H109" i="1"/>
  <c r="I109" i="1"/>
  <c r="J109" i="1"/>
  <c r="K109" i="1"/>
  <c r="L109" i="1"/>
  <c r="M109" i="1"/>
  <c r="N109" i="1"/>
  <c r="C109" i="1"/>
  <c r="D101" i="1"/>
  <c r="E101" i="1"/>
  <c r="F101" i="1"/>
  <c r="G101" i="1"/>
  <c r="H101" i="1"/>
  <c r="I101" i="1"/>
  <c r="J101" i="1"/>
  <c r="K101" i="1"/>
  <c r="L101" i="1"/>
  <c r="M101" i="1"/>
  <c r="N101" i="1"/>
  <c r="D100" i="1"/>
  <c r="E100" i="1"/>
  <c r="F100" i="1"/>
  <c r="G100" i="1"/>
  <c r="H100" i="1"/>
  <c r="I100" i="1"/>
  <c r="J100" i="1"/>
  <c r="K100" i="1"/>
  <c r="L100" i="1"/>
  <c r="M100" i="1"/>
  <c r="N100" i="1"/>
  <c r="C100" i="1"/>
  <c r="C101" i="1"/>
  <c r="D99" i="1"/>
  <c r="D104" i="1"/>
  <c r="E99" i="1"/>
  <c r="E104" i="1"/>
  <c r="E105" i="1"/>
  <c r="E106" i="1"/>
  <c r="F99" i="1"/>
  <c r="F104" i="1"/>
  <c r="F105" i="1"/>
  <c r="F106" i="1"/>
  <c r="G99" i="1"/>
  <c r="G104" i="1"/>
  <c r="G105" i="1"/>
  <c r="G106" i="1"/>
  <c r="H99" i="1"/>
  <c r="H104" i="1"/>
  <c r="H105" i="1"/>
  <c r="H106" i="1"/>
  <c r="I99" i="1"/>
  <c r="I104" i="1"/>
  <c r="I105" i="1"/>
  <c r="I106" i="1"/>
  <c r="J99" i="1"/>
  <c r="J104" i="1"/>
  <c r="J105" i="1"/>
  <c r="J106" i="1"/>
  <c r="K99" i="1"/>
  <c r="K104" i="1"/>
  <c r="L99" i="1"/>
  <c r="L104" i="1"/>
  <c r="M99" i="1"/>
  <c r="M104" i="1"/>
  <c r="M105" i="1"/>
  <c r="M106" i="1"/>
  <c r="N99" i="1"/>
  <c r="N104" i="1"/>
  <c r="N105" i="1"/>
  <c r="N106" i="1"/>
  <c r="C99" i="1"/>
  <c r="C104" i="1"/>
  <c r="C105" i="1"/>
  <c r="C106" i="1"/>
  <c r="D62" i="1"/>
  <c r="E62" i="1"/>
  <c r="F62" i="1"/>
  <c r="G62" i="1"/>
  <c r="H62" i="1"/>
  <c r="I62" i="1"/>
  <c r="J62" i="1"/>
  <c r="K62" i="1"/>
  <c r="L62" i="1"/>
  <c r="M62" i="1"/>
  <c r="N62" i="1"/>
  <c r="D61" i="1"/>
  <c r="E61" i="1"/>
  <c r="F61" i="1"/>
  <c r="G61" i="1"/>
  <c r="H61" i="1"/>
  <c r="I61" i="1"/>
  <c r="J61" i="1"/>
  <c r="K61" i="1"/>
  <c r="L61" i="1"/>
  <c r="M61" i="1"/>
  <c r="N61" i="1"/>
  <c r="C62" i="1"/>
  <c r="C61" i="1"/>
  <c r="D60" i="1"/>
  <c r="E60" i="1"/>
  <c r="F60" i="1"/>
  <c r="G60" i="1"/>
  <c r="H60" i="1"/>
  <c r="I60" i="1"/>
  <c r="J60" i="1"/>
  <c r="K60" i="1"/>
  <c r="L60" i="1"/>
  <c r="M60" i="1"/>
  <c r="N60" i="1"/>
  <c r="C60" i="1"/>
  <c r="D52" i="1"/>
  <c r="E52" i="1"/>
  <c r="F52" i="1"/>
  <c r="G52" i="1"/>
  <c r="H52" i="1"/>
  <c r="I52" i="1"/>
  <c r="J52" i="1"/>
  <c r="K52" i="1"/>
  <c r="L52" i="1"/>
  <c r="M52" i="1"/>
  <c r="N52" i="1"/>
  <c r="C52" i="1"/>
  <c r="D51" i="1"/>
  <c r="E51" i="1"/>
  <c r="F51" i="1"/>
  <c r="G51" i="1"/>
  <c r="H51" i="1"/>
  <c r="I51" i="1"/>
  <c r="J51" i="1"/>
  <c r="K51" i="1"/>
  <c r="L51" i="1"/>
  <c r="M51" i="1"/>
  <c r="N51" i="1"/>
  <c r="C51" i="1"/>
  <c r="D50" i="1"/>
  <c r="D55" i="1"/>
  <c r="D56" i="1"/>
  <c r="D57" i="1"/>
  <c r="E50" i="1"/>
  <c r="E55" i="1"/>
  <c r="E56" i="1"/>
  <c r="E57" i="1"/>
  <c r="F50" i="1"/>
  <c r="F55" i="1"/>
  <c r="G50" i="1"/>
  <c r="G55" i="1"/>
  <c r="G56" i="1"/>
  <c r="G57" i="1"/>
  <c r="H50" i="1"/>
  <c r="H55" i="1"/>
  <c r="I50" i="1"/>
  <c r="I55" i="1"/>
  <c r="I56" i="1"/>
  <c r="I57" i="1"/>
  <c r="J50" i="1"/>
  <c r="J55" i="1"/>
  <c r="J56" i="1"/>
  <c r="J57" i="1"/>
  <c r="K50" i="1"/>
  <c r="K55" i="1"/>
  <c r="K56" i="1"/>
  <c r="K57" i="1"/>
  <c r="L50" i="1"/>
  <c r="L55" i="1"/>
  <c r="L56" i="1"/>
  <c r="L57" i="1"/>
  <c r="M50" i="1"/>
  <c r="M55" i="1"/>
  <c r="M56" i="1"/>
  <c r="M57" i="1"/>
  <c r="N50" i="1"/>
  <c r="N55" i="1"/>
  <c r="C50" i="1"/>
  <c r="C55" i="1"/>
  <c r="C56" i="1"/>
  <c r="C57" i="1"/>
  <c r="D12" i="1"/>
  <c r="E12" i="1"/>
  <c r="F12" i="1"/>
  <c r="G12" i="1"/>
  <c r="H12" i="1"/>
  <c r="I12" i="1"/>
  <c r="J12" i="1"/>
  <c r="K12" i="1"/>
  <c r="L12" i="1"/>
  <c r="M12" i="1"/>
  <c r="N12" i="1"/>
  <c r="C12" i="1"/>
  <c r="D11" i="1"/>
  <c r="E11" i="1"/>
  <c r="F11" i="1"/>
  <c r="G11" i="1"/>
  <c r="H11" i="1"/>
  <c r="I11" i="1"/>
  <c r="J11" i="1"/>
  <c r="K11" i="1"/>
  <c r="L11" i="1"/>
  <c r="M11" i="1"/>
  <c r="N11" i="1"/>
  <c r="C11" i="1"/>
  <c r="I6" i="13"/>
  <c r="H6" i="13"/>
  <c r="G6" i="13"/>
  <c r="F6" i="13"/>
  <c r="E6" i="13"/>
  <c r="E10" i="1"/>
  <c r="D7" i="14"/>
  <c r="E49" i="14"/>
  <c r="H83" i="14"/>
  <c r="H86" i="14"/>
  <c r="E7" i="14"/>
  <c r="F15" i="14"/>
  <c r="F17" i="14"/>
  <c r="J15" i="14"/>
  <c r="J17" i="14"/>
  <c r="F83" i="14"/>
  <c r="F86" i="14"/>
  <c r="F117" i="14"/>
  <c r="J117" i="14"/>
  <c r="F120" i="14"/>
  <c r="F7" i="14"/>
  <c r="C129" i="14"/>
  <c r="G15" i="14"/>
  <c r="G17" i="14"/>
  <c r="E52" i="14"/>
  <c r="C83" i="14"/>
  <c r="G83" i="14"/>
  <c r="C86" i="14"/>
  <c r="G86" i="14"/>
  <c r="C117" i="14"/>
  <c r="C38" i="2"/>
  <c r="K96" i="14"/>
  <c r="U16" i="14"/>
  <c r="F121" i="14"/>
  <c r="G53" i="14"/>
  <c r="J84" i="14"/>
  <c r="J85" i="14"/>
  <c r="C118" i="14"/>
  <c r="V118" i="14"/>
  <c r="C10" i="1"/>
  <c r="K53" i="14"/>
  <c r="N84" i="14"/>
  <c r="T84" i="14"/>
  <c r="E118" i="14"/>
  <c r="E119" i="14"/>
  <c r="J121" i="14"/>
  <c r="J122" i="14"/>
  <c r="K62" i="14"/>
  <c r="G10" i="1"/>
  <c r="C62" i="14"/>
  <c r="C84" i="14"/>
  <c r="C96" i="14"/>
  <c r="C97" i="14"/>
  <c r="C75" i="14"/>
  <c r="I118" i="14"/>
  <c r="I119" i="14"/>
  <c r="N121" i="14"/>
  <c r="G62" i="14"/>
  <c r="F84" i="14"/>
  <c r="G96" i="14"/>
  <c r="G97" i="14"/>
  <c r="G75" i="14"/>
  <c r="M118" i="14"/>
  <c r="T118" i="14"/>
  <c r="H17" i="14"/>
  <c r="J50" i="14"/>
  <c r="F87" i="14"/>
  <c r="J87" i="14"/>
  <c r="J130" i="14"/>
  <c r="J131" i="14"/>
  <c r="J109" i="14"/>
  <c r="C110" i="2"/>
  <c r="E150" i="2"/>
  <c r="V16" i="14"/>
  <c r="C53" i="14"/>
  <c r="G50" i="14"/>
  <c r="K50" i="14"/>
  <c r="D53" i="14"/>
  <c r="H53" i="14"/>
  <c r="L53" i="14"/>
  <c r="D62" i="14"/>
  <c r="H62" i="14"/>
  <c r="L62" i="14"/>
  <c r="C87" i="14"/>
  <c r="G84" i="14"/>
  <c r="K84" i="14"/>
  <c r="D87" i="14"/>
  <c r="D88" i="14"/>
  <c r="G87" i="14"/>
  <c r="K87" i="14"/>
  <c r="D96" i="14"/>
  <c r="D97" i="14"/>
  <c r="D75" i="14"/>
  <c r="H96" i="14"/>
  <c r="H97" i="14"/>
  <c r="H75" i="14"/>
  <c r="L96" i="14"/>
  <c r="C121" i="14"/>
  <c r="C122" i="14"/>
  <c r="F118" i="14"/>
  <c r="J118" i="14"/>
  <c r="N118" i="14"/>
  <c r="G121" i="14"/>
  <c r="K121" i="14"/>
  <c r="D130" i="14"/>
  <c r="D131" i="14"/>
  <c r="D109" i="14"/>
  <c r="G130" i="14"/>
  <c r="K130" i="14"/>
  <c r="J153" i="2"/>
  <c r="F50" i="14"/>
  <c r="T50" i="14"/>
  <c r="N130" i="14"/>
  <c r="L107" i="2"/>
  <c r="M150" i="2"/>
  <c r="I17" i="14"/>
  <c r="D50" i="14"/>
  <c r="D51" i="14"/>
  <c r="H50" i="14"/>
  <c r="L50" i="14"/>
  <c r="E53" i="14"/>
  <c r="E54" i="14"/>
  <c r="I53" i="14"/>
  <c r="M53" i="14"/>
  <c r="E62" i="14"/>
  <c r="E63" i="14"/>
  <c r="E41" i="14"/>
  <c r="I62" i="14"/>
  <c r="M62" i="14"/>
  <c r="U50" i="14"/>
  <c r="D84" i="14"/>
  <c r="D85" i="14"/>
  <c r="H84" i="14"/>
  <c r="L84" i="14"/>
  <c r="E87" i="14"/>
  <c r="E88" i="14"/>
  <c r="H87" i="14"/>
  <c r="L87" i="14"/>
  <c r="E96" i="14"/>
  <c r="E97" i="14"/>
  <c r="E75" i="14"/>
  <c r="I96" i="14"/>
  <c r="M96" i="14"/>
  <c r="U84" i="14"/>
  <c r="C130" i="14"/>
  <c r="G118" i="14"/>
  <c r="G119" i="14"/>
  <c r="K118" i="14"/>
  <c r="D121" i="14"/>
  <c r="D122" i="14"/>
  <c r="H121" i="14"/>
  <c r="L121" i="14"/>
  <c r="E130" i="14"/>
  <c r="E131" i="14"/>
  <c r="E109" i="14"/>
  <c r="H130" i="14"/>
  <c r="L130" i="14"/>
  <c r="C107" i="2"/>
  <c r="C50" i="14"/>
  <c r="C51" i="14"/>
  <c r="N50" i="14"/>
  <c r="V107" i="2"/>
  <c r="G153" i="2"/>
  <c r="T16" i="14"/>
  <c r="E50" i="14"/>
  <c r="E51" i="14"/>
  <c r="I50" i="14"/>
  <c r="M50" i="14"/>
  <c r="F53" i="14"/>
  <c r="J53" i="14"/>
  <c r="N53" i="14"/>
  <c r="F62" i="14"/>
  <c r="J62" i="14"/>
  <c r="N62" i="14"/>
  <c r="V50" i="14"/>
  <c r="E84" i="14"/>
  <c r="E85" i="14"/>
  <c r="I84" i="14"/>
  <c r="I85" i="14"/>
  <c r="M84" i="14"/>
  <c r="N87" i="14"/>
  <c r="I87" i="14"/>
  <c r="M87" i="14"/>
  <c r="F96" i="14"/>
  <c r="F97" i="14"/>
  <c r="F75" i="14"/>
  <c r="J96" i="14"/>
  <c r="N96" i="14"/>
  <c r="V84" i="14"/>
  <c r="D118" i="14"/>
  <c r="D119" i="14"/>
  <c r="H118" i="14"/>
  <c r="H119" i="14"/>
  <c r="L118" i="14"/>
  <c r="E121" i="14"/>
  <c r="E122" i="14"/>
  <c r="I121" i="14"/>
  <c r="I122" i="14"/>
  <c r="M121" i="14"/>
  <c r="F130" i="14"/>
  <c r="F131" i="14"/>
  <c r="F109" i="14"/>
  <c r="I130" i="14"/>
  <c r="I131" i="14"/>
  <c r="I109" i="14"/>
  <c r="M130" i="14"/>
  <c r="U118" i="14"/>
  <c r="E17" i="14"/>
  <c r="D17" i="14"/>
  <c r="C18" i="14"/>
  <c r="C15" i="14"/>
  <c r="G7" i="14"/>
  <c r="E18" i="14"/>
  <c r="H7" i="14"/>
  <c r="I7" i="14"/>
  <c r="I95" i="14"/>
  <c r="I86" i="14"/>
  <c r="G129" i="14"/>
  <c r="G120" i="14"/>
  <c r="J7" i="14"/>
  <c r="J95" i="14"/>
  <c r="J86" i="14"/>
  <c r="H129" i="14"/>
  <c r="H120" i="14"/>
  <c r="D61" i="14"/>
  <c r="D52" i="14"/>
  <c r="C61" i="14"/>
  <c r="C52" i="14"/>
  <c r="G107" i="2"/>
  <c r="I107" i="2"/>
  <c r="N110" i="2"/>
  <c r="U153" i="2"/>
  <c r="J107" i="2"/>
  <c r="V153" i="2"/>
  <c r="I110" i="2"/>
  <c r="K107" i="2"/>
  <c r="M107" i="2"/>
  <c r="D107" i="2"/>
  <c r="F110" i="2"/>
  <c r="U110" i="2"/>
  <c r="E107" i="2"/>
  <c r="H110" i="2"/>
  <c r="V110" i="2"/>
  <c r="I153" i="2"/>
  <c r="U64" i="2"/>
  <c r="V17" i="2"/>
  <c r="C67" i="2"/>
  <c r="W64" i="2"/>
  <c r="J110" i="2"/>
  <c r="G150" i="2"/>
  <c r="C153" i="2"/>
  <c r="K153" i="2"/>
  <c r="T67" i="2"/>
  <c r="F107" i="2"/>
  <c r="N107" i="2"/>
  <c r="K110" i="2"/>
  <c r="T107" i="2"/>
  <c r="H150" i="2"/>
  <c r="D153" i="2"/>
  <c r="L153" i="2"/>
  <c r="T150" i="2"/>
  <c r="T20" i="2"/>
  <c r="U67" i="2"/>
  <c r="M153" i="2"/>
  <c r="D110" i="2"/>
  <c r="L110" i="2"/>
  <c r="T110" i="2"/>
  <c r="I150" i="2"/>
  <c r="E153" i="2"/>
  <c r="U150" i="2"/>
  <c r="U20" i="2"/>
  <c r="V67" i="2"/>
  <c r="H107" i="2"/>
  <c r="E110" i="2"/>
  <c r="M110" i="2"/>
  <c r="U107" i="2"/>
  <c r="J150" i="2"/>
  <c r="F153" i="2"/>
  <c r="N153" i="2"/>
  <c r="V150" i="2"/>
  <c r="V20" i="2"/>
  <c r="W67" i="2"/>
  <c r="C150" i="2"/>
  <c r="K150" i="2"/>
  <c r="T64" i="2"/>
  <c r="G110" i="2"/>
  <c r="D150" i="2"/>
  <c r="L150" i="2"/>
  <c r="H153" i="2"/>
  <c r="T153" i="2"/>
  <c r="T17" i="2"/>
  <c r="U17" i="2"/>
  <c r="C64" i="2"/>
  <c r="V64" i="2"/>
  <c r="F150" i="2"/>
  <c r="N150" i="2"/>
  <c r="H28" i="2"/>
  <c r="E106" i="2"/>
  <c r="C109" i="2"/>
  <c r="C149" i="2"/>
  <c r="D63" i="2"/>
  <c r="E149" i="2"/>
  <c r="G106" i="2"/>
  <c r="I149" i="2"/>
  <c r="C19" i="2"/>
  <c r="G16" i="2"/>
  <c r="I16" i="2"/>
  <c r="H19" i="2"/>
  <c r="D28" i="2"/>
  <c r="D16" i="2"/>
  <c r="E28" i="2"/>
  <c r="H106" i="2"/>
  <c r="F149" i="2"/>
  <c r="E66" i="2"/>
  <c r="J152" i="2"/>
  <c r="E16" i="2"/>
  <c r="J19" i="2"/>
  <c r="F28" i="2"/>
  <c r="C63" i="2"/>
  <c r="I106" i="2"/>
  <c r="F109" i="2"/>
  <c r="G149" i="2"/>
  <c r="D152" i="2"/>
  <c r="D109" i="2"/>
  <c r="F16" i="2"/>
  <c r="G28" i="2"/>
  <c r="C106" i="2"/>
  <c r="J106" i="2"/>
  <c r="H149" i="2"/>
  <c r="C16" i="2"/>
  <c r="L114" i="1"/>
  <c r="D114" i="1"/>
  <c r="K114" i="1"/>
  <c r="J102" i="1"/>
  <c r="M114" i="1"/>
  <c r="E114" i="1"/>
  <c r="E47" i="20"/>
  <c r="C114" i="1"/>
  <c r="N114" i="1"/>
  <c r="N47" i="20"/>
  <c r="G114" i="1"/>
  <c r="J114" i="1"/>
  <c r="F114" i="1"/>
  <c r="I114" i="1"/>
  <c r="H114" i="1"/>
  <c r="F102" i="1"/>
  <c r="M102" i="1"/>
  <c r="E102" i="1"/>
  <c r="N102" i="1"/>
  <c r="I102" i="1"/>
  <c r="C103" i="1"/>
  <c r="C102" i="1"/>
  <c r="G102" i="1"/>
  <c r="H103" i="1"/>
  <c r="M103" i="1"/>
  <c r="E103" i="1"/>
  <c r="L105" i="1"/>
  <c r="L106" i="1"/>
  <c r="L102" i="1"/>
  <c r="L103" i="1"/>
  <c r="D103" i="1"/>
  <c r="K102" i="1"/>
  <c r="K105" i="1"/>
  <c r="K106" i="1"/>
  <c r="H102" i="1"/>
  <c r="K103" i="1"/>
  <c r="J103" i="1"/>
  <c r="D105" i="1"/>
  <c r="D106" i="1"/>
  <c r="D102" i="1"/>
  <c r="I103" i="1"/>
  <c r="N103" i="1"/>
  <c r="F103" i="1"/>
  <c r="G103" i="1"/>
  <c r="I65" i="1"/>
  <c r="N65" i="1"/>
  <c r="F65" i="1"/>
  <c r="H65" i="1"/>
  <c r="L65" i="1"/>
  <c r="D65" i="1"/>
  <c r="K65" i="1"/>
  <c r="C65" i="1"/>
  <c r="G65" i="1"/>
  <c r="G26" i="20"/>
  <c r="G28" i="20"/>
  <c r="M65" i="1"/>
  <c r="M26" i="20"/>
  <c r="M28" i="20"/>
  <c r="E65" i="1"/>
  <c r="E26" i="20"/>
  <c r="J65" i="1"/>
  <c r="J26" i="20"/>
  <c r="J28" i="20"/>
  <c r="E53" i="1"/>
  <c r="L53" i="1"/>
  <c r="D53" i="1"/>
  <c r="K53" i="1"/>
  <c r="J53" i="1"/>
  <c r="M53" i="1"/>
  <c r="C54" i="1"/>
  <c r="C53" i="1"/>
  <c r="G53" i="1"/>
  <c r="G54" i="1"/>
  <c r="I54" i="1"/>
  <c r="N56" i="1"/>
  <c r="N57" i="1"/>
  <c r="N53" i="1"/>
  <c r="F56" i="1"/>
  <c r="F57" i="1"/>
  <c r="F54" i="1"/>
  <c r="F53" i="1"/>
  <c r="N54" i="1"/>
  <c r="I53" i="1"/>
  <c r="D54" i="1"/>
  <c r="K54" i="1"/>
  <c r="H53" i="1"/>
  <c r="H56" i="1"/>
  <c r="H57" i="1"/>
  <c r="H54" i="1"/>
  <c r="L54" i="1"/>
  <c r="J54" i="1"/>
  <c r="M54" i="1"/>
  <c r="E54" i="1"/>
  <c r="D10" i="1"/>
  <c r="K10" i="1"/>
  <c r="J10" i="1"/>
  <c r="I10" i="1"/>
  <c r="L10" i="1"/>
  <c r="H10" i="1"/>
  <c r="N10" i="1"/>
  <c r="F10" i="1"/>
  <c r="M10" i="1"/>
  <c r="E3" i="10"/>
  <c r="B31" i="15"/>
  <c r="E4" i="10"/>
  <c r="B32" i="15"/>
  <c r="E5" i="10"/>
  <c r="B33" i="15"/>
  <c r="E6" i="10"/>
  <c r="B34" i="15"/>
  <c r="E7" i="10"/>
  <c r="B35" i="15"/>
  <c r="E8" i="10"/>
  <c r="B37" i="15"/>
  <c r="E9" i="10"/>
  <c r="B40" i="15"/>
  <c r="E10" i="10"/>
  <c r="B43" i="15"/>
  <c r="E11" i="10"/>
  <c r="B44" i="15"/>
  <c r="E12" i="10"/>
  <c r="B41" i="15"/>
  <c r="E13" i="10"/>
  <c r="B42" i="15"/>
  <c r="E14" i="10"/>
  <c r="B47" i="15"/>
  <c r="E15" i="10"/>
  <c r="B48" i="15"/>
  <c r="E16" i="10"/>
  <c r="B36" i="15"/>
  <c r="E17" i="10"/>
  <c r="B45" i="15"/>
  <c r="E18" i="10"/>
  <c r="B38" i="15"/>
  <c r="E19" i="10"/>
  <c r="B46" i="15"/>
  <c r="E20" i="10"/>
  <c r="B49" i="15"/>
  <c r="E21" i="10"/>
  <c r="B50" i="15"/>
  <c r="E22" i="10"/>
  <c r="B39" i="15"/>
  <c r="E2" i="10"/>
  <c r="B30" i="15"/>
  <c r="D24" i="10"/>
  <c r="H85" i="14"/>
  <c r="F119" i="14"/>
  <c r="G85" i="14"/>
  <c r="C131" i="14"/>
  <c r="C109" i="14"/>
  <c r="H88" i="14"/>
  <c r="X171" i="2"/>
  <c r="X38" i="2"/>
  <c r="C119" i="14"/>
  <c r="C124" i="14"/>
  <c r="J119" i="14"/>
  <c r="C88" i="14"/>
  <c r="B52" i="15"/>
  <c r="F51" i="15"/>
  <c r="I97" i="14"/>
  <c r="I75" i="14"/>
  <c r="C85" i="14"/>
  <c r="C63" i="14"/>
  <c r="C41" i="14"/>
  <c r="F88" i="14"/>
  <c r="F90" i="14"/>
  <c r="F74" i="14"/>
  <c r="F76" i="14"/>
  <c r="G88" i="14"/>
  <c r="F85" i="14"/>
  <c r="F122" i="14"/>
  <c r="E48" i="20"/>
  <c r="E49" i="20"/>
  <c r="H115" i="1"/>
  <c r="H47" i="20"/>
  <c r="M113" i="1"/>
  <c r="M47" i="20"/>
  <c r="I115" i="1"/>
  <c r="I47" i="20"/>
  <c r="N49" i="20"/>
  <c r="N48" i="20"/>
  <c r="J115" i="1"/>
  <c r="J47" i="20"/>
  <c r="D115" i="1"/>
  <c r="D47" i="20"/>
  <c r="G112" i="1"/>
  <c r="G47" i="20"/>
  <c r="L113" i="1"/>
  <c r="L47" i="20"/>
  <c r="F112" i="1"/>
  <c r="F47" i="20"/>
  <c r="C115" i="1"/>
  <c r="C47" i="20"/>
  <c r="K115" i="1"/>
  <c r="K116" i="1"/>
  <c r="K89" i="14"/>
  <c r="K47" i="20"/>
  <c r="D64" i="1"/>
  <c r="D26" i="20"/>
  <c r="N66" i="1"/>
  <c r="N67" i="1"/>
  <c r="N27" i="20"/>
  <c r="N26" i="20"/>
  <c r="N28" i="20"/>
  <c r="L64" i="1"/>
  <c r="L26" i="20"/>
  <c r="L28" i="20"/>
  <c r="I66" i="1"/>
  <c r="I67" i="1"/>
  <c r="I27" i="20"/>
  <c r="I26" i="20"/>
  <c r="I28" i="20"/>
  <c r="C63" i="1"/>
  <c r="C26" i="20"/>
  <c r="H64" i="1"/>
  <c r="H26" i="20"/>
  <c r="H28" i="20"/>
  <c r="K66" i="1"/>
  <c r="K67" i="1"/>
  <c r="K27" i="20"/>
  <c r="K26" i="20"/>
  <c r="K28" i="20"/>
  <c r="F66" i="1"/>
  <c r="F67" i="1"/>
  <c r="F27" i="20"/>
  <c r="F26" i="20"/>
  <c r="F28" i="20"/>
  <c r="F29" i="20"/>
  <c r="C90" i="14"/>
  <c r="C74" i="14"/>
  <c r="H6" i="14"/>
  <c r="H8" i="14"/>
  <c r="G6" i="14"/>
  <c r="G8" i="14"/>
  <c r="D54" i="14"/>
  <c r="D56" i="14"/>
  <c r="D40" i="14"/>
  <c r="J88" i="14"/>
  <c r="J90" i="14"/>
  <c r="J74" i="14"/>
  <c r="D6" i="14"/>
  <c r="D8" i="14"/>
  <c r="I124" i="14"/>
  <c r="I108" i="14"/>
  <c r="I110" i="14"/>
  <c r="D63" i="14"/>
  <c r="D41" i="14"/>
  <c r="F124" i="14"/>
  <c r="F108" i="14"/>
  <c r="F110" i="14"/>
  <c r="D90" i="14"/>
  <c r="D74" i="14"/>
  <c r="D76" i="14"/>
  <c r="E124" i="14"/>
  <c r="E108" i="14"/>
  <c r="E110" i="14"/>
  <c r="E90" i="14"/>
  <c r="E74" i="14"/>
  <c r="E76" i="14"/>
  <c r="J6" i="14"/>
  <c r="J8" i="14"/>
  <c r="H131" i="14"/>
  <c r="H109" i="14"/>
  <c r="I6" i="14"/>
  <c r="I8" i="14"/>
  <c r="D124" i="14"/>
  <c r="D108" i="14"/>
  <c r="D110" i="14"/>
  <c r="H122" i="14"/>
  <c r="H124" i="14"/>
  <c r="H108" i="14"/>
  <c r="I88" i="14"/>
  <c r="F6" i="14"/>
  <c r="F8" i="14"/>
  <c r="J124" i="14"/>
  <c r="J108" i="14"/>
  <c r="J110" i="14"/>
  <c r="G122" i="14"/>
  <c r="G124" i="14"/>
  <c r="G108" i="14"/>
  <c r="I90" i="14"/>
  <c r="I74" i="14"/>
  <c r="I76" i="14"/>
  <c r="J97" i="14"/>
  <c r="J75" i="14"/>
  <c r="E6" i="14"/>
  <c r="E8" i="14"/>
  <c r="H90" i="14"/>
  <c r="H74" i="14"/>
  <c r="H76" i="14"/>
  <c r="E24" i="10"/>
  <c r="D26" i="10"/>
  <c r="E56" i="14"/>
  <c r="E40" i="14"/>
  <c r="E42" i="14"/>
  <c r="C7" i="14"/>
  <c r="C54" i="14"/>
  <c r="C56" i="14"/>
  <c r="C17" i="14"/>
  <c r="G131" i="14"/>
  <c r="G109" i="14"/>
  <c r="C113" i="1"/>
  <c r="D112" i="1"/>
  <c r="L112" i="1"/>
  <c r="L115" i="1"/>
  <c r="L116" i="1"/>
  <c r="D113" i="1"/>
  <c r="K112" i="1"/>
  <c r="I113" i="1"/>
  <c r="K113" i="1"/>
  <c r="I112" i="1"/>
  <c r="C112" i="1"/>
  <c r="E115" i="1"/>
  <c r="E112" i="1"/>
  <c r="J112" i="1"/>
  <c r="N115" i="1"/>
  <c r="N116" i="1"/>
  <c r="N113" i="1"/>
  <c r="M112" i="1"/>
  <c r="M115" i="1"/>
  <c r="M116" i="1"/>
  <c r="J113" i="1"/>
  <c r="G115" i="1"/>
  <c r="G113" i="1"/>
  <c r="H112" i="1"/>
  <c r="F115" i="1"/>
  <c r="F113" i="1"/>
  <c r="E113" i="1"/>
  <c r="H113" i="1"/>
  <c r="N112" i="1"/>
  <c r="N63" i="1"/>
  <c r="I63" i="1"/>
  <c r="I64" i="1"/>
  <c r="D63" i="1"/>
  <c r="D66" i="1"/>
  <c r="K64" i="1"/>
  <c r="F64" i="1"/>
  <c r="F63" i="1"/>
  <c r="N64" i="1"/>
  <c r="L66" i="1"/>
  <c r="L67" i="1"/>
  <c r="L27" i="20"/>
  <c r="H63" i="1"/>
  <c r="H66" i="1"/>
  <c r="H67" i="1"/>
  <c r="H27" i="20"/>
  <c r="L63" i="1"/>
  <c r="K63" i="1"/>
  <c r="E66" i="1"/>
  <c r="E64" i="1"/>
  <c r="E63" i="1"/>
  <c r="M66" i="1"/>
  <c r="M67" i="1"/>
  <c r="M27" i="20"/>
  <c r="M64" i="1"/>
  <c r="M63" i="1"/>
  <c r="G63" i="1"/>
  <c r="G66" i="1"/>
  <c r="G67" i="1"/>
  <c r="G27" i="20"/>
  <c r="G64" i="1"/>
  <c r="C64" i="1"/>
  <c r="C66" i="1"/>
  <c r="J64" i="1"/>
  <c r="J63" i="1"/>
  <c r="J66" i="1"/>
  <c r="J67" i="1"/>
  <c r="J27" i="20"/>
  <c r="G90" i="14"/>
  <c r="G74" i="14"/>
  <c r="G76" i="14"/>
  <c r="X141" i="2"/>
  <c r="H110" i="14"/>
  <c r="G51" i="15"/>
  <c r="E51" i="15"/>
  <c r="K112" i="2"/>
  <c r="K109" i="2"/>
  <c r="K55" i="14"/>
  <c r="K52" i="14"/>
  <c r="K69" i="2"/>
  <c r="K66" i="2"/>
  <c r="F49" i="20"/>
  <c r="F48" i="20"/>
  <c r="J49" i="20"/>
  <c r="J48" i="20"/>
  <c r="H49" i="20"/>
  <c r="H48" i="20"/>
  <c r="N69" i="2"/>
  <c r="N66" i="2"/>
  <c r="C49" i="20"/>
  <c r="C48" i="20"/>
  <c r="O47" i="20"/>
  <c r="E55" i="20"/>
  <c r="L49" i="20"/>
  <c r="L48" i="20"/>
  <c r="D49" i="20"/>
  <c r="D48" i="20"/>
  <c r="M49" i="20"/>
  <c r="M48" i="20"/>
  <c r="K49" i="20"/>
  <c r="K48" i="20"/>
  <c r="G49" i="20"/>
  <c r="G48" i="20"/>
  <c r="I49" i="20"/>
  <c r="I48" i="20"/>
  <c r="J76" i="14"/>
  <c r="G29" i="20"/>
  <c r="N55" i="14"/>
  <c r="N49" i="14"/>
  <c r="I55" i="14"/>
  <c r="I61" i="14"/>
  <c r="I63" i="14"/>
  <c r="I41" i="14"/>
  <c r="F55" i="14"/>
  <c r="F52" i="14"/>
  <c r="O26" i="20"/>
  <c r="O27" i="20"/>
  <c r="D35" i="20"/>
  <c r="I69" i="2"/>
  <c r="I66" i="2"/>
  <c r="F69" i="2"/>
  <c r="F66" i="2"/>
  <c r="D42" i="14"/>
  <c r="N112" i="2"/>
  <c r="N106" i="2"/>
  <c r="N89" i="14"/>
  <c r="K95" i="14"/>
  <c r="K83" i="14"/>
  <c r="K86" i="14"/>
  <c r="L69" i="2"/>
  <c r="L66" i="2"/>
  <c r="L55" i="14"/>
  <c r="H69" i="2"/>
  <c r="H66" i="2"/>
  <c r="H55" i="14"/>
  <c r="M69" i="2"/>
  <c r="M66" i="2"/>
  <c r="M55" i="14"/>
  <c r="M112" i="2"/>
  <c r="M109" i="2"/>
  <c r="M89" i="14"/>
  <c r="G69" i="2"/>
  <c r="G66" i="2"/>
  <c r="G55" i="14"/>
  <c r="J69" i="2"/>
  <c r="J63" i="2"/>
  <c r="J55" i="14"/>
  <c r="L112" i="2"/>
  <c r="L109" i="2"/>
  <c r="L89" i="14"/>
  <c r="E19" i="5"/>
  <c r="G110" i="14"/>
  <c r="C108" i="14"/>
  <c r="C40" i="14"/>
  <c r="C76" i="14"/>
  <c r="O115" i="1"/>
  <c r="D124" i="1"/>
  <c r="J19" i="5"/>
  <c r="I63" i="2"/>
  <c r="K63" i="2"/>
  <c r="H29" i="20"/>
  <c r="K61" i="14"/>
  <c r="K63" i="14"/>
  <c r="K41" i="14"/>
  <c r="F61" i="14"/>
  <c r="F63" i="14"/>
  <c r="I52" i="14"/>
  <c r="N63" i="2"/>
  <c r="K49" i="14"/>
  <c r="K51" i="14"/>
  <c r="I49" i="14"/>
  <c r="I51" i="14"/>
  <c r="K106" i="2"/>
  <c r="N52" i="14"/>
  <c r="N61" i="14"/>
  <c r="N63" i="14"/>
  <c r="N41" i="14"/>
  <c r="C50" i="20"/>
  <c r="O49" i="20"/>
  <c r="E57" i="20"/>
  <c r="O48" i="20"/>
  <c r="E56" i="20"/>
  <c r="I29" i="20"/>
  <c r="F49" i="14"/>
  <c r="F51" i="14"/>
  <c r="F63" i="2"/>
  <c r="N109" i="2"/>
  <c r="M63" i="2"/>
  <c r="L63" i="2"/>
  <c r="G63" i="2"/>
  <c r="J66" i="2"/>
  <c r="O66" i="2"/>
  <c r="T66" i="2"/>
  <c r="L106" i="2"/>
  <c r="O55" i="14"/>
  <c r="T55" i="14"/>
  <c r="T61" i="14"/>
  <c r="H63" i="2"/>
  <c r="M106" i="2"/>
  <c r="K97" i="14"/>
  <c r="M83" i="14"/>
  <c r="M85" i="14"/>
  <c r="M95" i="14"/>
  <c r="M97" i="14"/>
  <c r="M75" i="14"/>
  <c r="M86" i="14"/>
  <c r="M88" i="14"/>
  <c r="M61" i="14"/>
  <c r="M63" i="14"/>
  <c r="M41" i="14"/>
  <c r="M49" i="14"/>
  <c r="M52" i="14"/>
  <c r="L49" i="14"/>
  <c r="L51" i="14"/>
  <c r="L61" i="14"/>
  <c r="L63" i="14"/>
  <c r="L41" i="14"/>
  <c r="L52" i="14"/>
  <c r="F54" i="14"/>
  <c r="L95" i="14"/>
  <c r="L97" i="14"/>
  <c r="L75" i="14"/>
  <c r="L83" i="14"/>
  <c r="L85" i="14"/>
  <c r="L86" i="14"/>
  <c r="L88" i="14"/>
  <c r="H61" i="14"/>
  <c r="H63" i="14"/>
  <c r="H41" i="14"/>
  <c r="H49" i="14"/>
  <c r="H51" i="14"/>
  <c r="H52" i="14"/>
  <c r="H54" i="14"/>
  <c r="O89" i="14"/>
  <c r="T89" i="14"/>
  <c r="K88" i="14"/>
  <c r="N83" i="14"/>
  <c r="N85" i="14"/>
  <c r="N95" i="14"/>
  <c r="N97" i="14"/>
  <c r="N75" i="14"/>
  <c r="N86" i="14"/>
  <c r="N88" i="14"/>
  <c r="J61" i="14"/>
  <c r="J63" i="14"/>
  <c r="J41" i="14"/>
  <c r="J49" i="14"/>
  <c r="J51" i="14"/>
  <c r="J52" i="14"/>
  <c r="G52" i="14"/>
  <c r="G54" i="14"/>
  <c r="G61" i="14"/>
  <c r="G63" i="14"/>
  <c r="G41" i="14"/>
  <c r="G49" i="14"/>
  <c r="G51" i="14"/>
  <c r="K85" i="14"/>
  <c r="C110" i="14"/>
  <c r="C42" i="14"/>
  <c r="C6" i="14"/>
  <c r="J29" i="20"/>
  <c r="D50" i="20"/>
  <c r="F56" i="14"/>
  <c r="F40" i="14"/>
  <c r="O83" i="14"/>
  <c r="T83" i="14"/>
  <c r="N90" i="14"/>
  <c r="N74" i="14"/>
  <c r="N76" i="14"/>
  <c r="O49" i="14"/>
  <c r="T49" i="14"/>
  <c r="M90" i="14"/>
  <c r="M74" i="14"/>
  <c r="M76" i="14"/>
  <c r="K90" i="14"/>
  <c r="O85" i="14"/>
  <c r="L90" i="14"/>
  <c r="L74" i="14"/>
  <c r="L76" i="14"/>
  <c r="O95" i="14"/>
  <c r="O61" i="14"/>
  <c r="K75" i="14"/>
  <c r="O75" i="14"/>
  <c r="O97" i="14"/>
  <c r="T75" i="14"/>
  <c r="G56" i="14"/>
  <c r="G40" i="14"/>
  <c r="G42" i="14"/>
  <c r="F41" i="14"/>
  <c r="O41" i="14"/>
  <c r="O63" i="14"/>
  <c r="T41" i="14"/>
  <c r="O52" i="14"/>
  <c r="T52" i="14"/>
  <c r="T85" i="14"/>
  <c r="O86" i="14"/>
  <c r="T86" i="14"/>
  <c r="O88" i="14"/>
  <c r="T95" i="14"/>
  <c r="H56" i="14"/>
  <c r="I54" i="14"/>
  <c r="I56" i="14"/>
  <c r="I40" i="14"/>
  <c r="I42" i="14"/>
  <c r="N51" i="14"/>
  <c r="M51" i="14"/>
  <c r="C8" i="14"/>
  <c r="E23" i="5"/>
  <c r="D67" i="2"/>
  <c r="E67" i="2"/>
  <c r="F67" i="2"/>
  <c r="G67" i="2"/>
  <c r="H67" i="2"/>
  <c r="I67" i="2"/>
  <c r="J67" i="2"/>
  <c r="K67" i="2"/>
  <c r="L67" i="2"/>
  <c r="M67" i="2"/>
  <c r="N67" i="2"/>
  <c r="D64" i="2"/>
  <c r="E64" i="2"/>
  <c r="F64" i="2"/>
  <c r="G64" i="2"/>
  <c r="H64" i="2"/>
  <c r="I64" i="2"/>
  <c r="J64" i="2"/>
  <c r="K64" i="2"/>
  <c r="L64" i="2"/>
  <c r="M64" i="2"/>
  <c r="N64" i="2"/>
  <c r="N145" i="1"/>
  <c r="M145" i="1"/>
  <c r="L145" i="1"/>
  <c r="K145" i="1"/>
  <c r="J145" i="1"/>
  <c r="I145" i="1"/>
  <c r="H145" i="1"/>
  <c r="G145" i="1"/>
  <c r="F145" i="1"/>
  <c r="E145" i="1"/>
  <c r="D145" i="1"/>
  <c r="C145" i="1"/>
  <c r="O144" i="1"/>
  <c r="O143" i="1"/>
  <c r="O96" i="1"/>
  <c r="O47" i="1"/>
  <c r="N45" i="1"/>
  <c r="N46" i="1"/>
  <c r="M45" i="1"/>
  <c r="M46" i="1"/>
  <c r="L45" i="1"/>
  <c r="L46" i="1"/>
  <c r="K45" i="1"/>
  <c r="K46" i="1"/>
  <c r="J45" i="1"/>
  <c r="J46" i="1"/>
  <c r="I45" i="1"/>
  <c r="I46" i="1"/>
  <c r="H45" i="1"/>
  <c r="H46" i="1"/>
  <c r="G45" i="1"/>
  <c r="G46" i="1"/>
  <c r="F45" i="1"/>
  <c r="F46" i="1"/>
  <c r="E45" i="1"/>
  <c r="E46" i="1"/>
  <c r="D45" i="1"/>
  <c r="D46" i="1"/>
  <c r="C45" i="1"/>
  <c r="D7" i="1"/>
  <c r="D15" i="1"/>
  <c r="D5" i="20"/>
  <c r="E7" i="1"/>
  <c r="E15" i="1"/>
  <c r="E5" i="20"/>
  <c r="F7" i="1"/>
  <c r="F15" i="1"/>
  <c r="F5" i="20"/>
  <c r="G7" i="1"/>
  <c r="G15" i="1"/>
  <c r="G5" i="20"/>
  <c r="H7" i="1"/>
  <c r="H15" i="1"/>
  <c r="H5" i="20"/>
  <c r="I7" i="1"/>
  <c r="I15" i="1"/>
  <c r="I5" i="20"/>
  <c r="J7" i="1"/>
  <c r="J15" i="1"/>
  <c r="J5" i="20"/>
  <c r="K7" i="1"/>
  <c r="K15" i="1"/>
  <c r="K5" i="20"/>
  <c r="K7" i="20"/>
  <c r="L7" i="1"/>
  <c r="L15" i="1"/>
  <c r="L5" i="20"/>
  <c r="L7" i="20"/>
  <c r="M7" i="1"/>
  <c r="M15" i="1"/>
  <c r="M5" i="20"/>
  <c r="M7" i="20"/>
  <c r="N7" i="1"/>
  <c r="N15" i="1"/>
  <c r="N5" i="20"/>
  <c r="N7" i="20"/>
  <c r="C7" i="1"/>
  <c r="C15" i="1"/>
  <c r="C5" i="20"/>
  <c r="O6" i="1"/>
  <c r="O5" i="1"/>
  <c r="K29" i="20"/>
  <c r="E50" i="20"/>
  <c r="L29" i="20"/>
  <c r="O7" i="20"/>
  <c r="C15" i="20"/>
  <c r="C94" i="20"/>
  <c r="O5" i="20"/>
  <c r="N8" i="2"/>
  <c r="M8" i="2"/>
  <c r="L8" i="2"/>
  <c r="J23" i="5"/>
  <c r="K74" i="14"/>
  <c r="O90" i="14"/>
  <c r="T74" i="14"/>
  <c r="T76" i="14"/>
  <c r="T51" i="14"/>
  <c r="F42" i="14"/>
  <c r="H40" i="14"/>
  <c r="J54" i="14"/>
  <c r="O51" i="14"/>
  <c r="C16" i="1"/>
  <c r="C13" i="1"/>
  <c r="C14" i="1"/>
  <c r="F16" i="1"/>
  <c r="F14" i="1"/>
  <c r="F13" i="1"/>
  <c r="E16" i="1"/>
  <c r="E14" i="1"/>
  <c r="E13" i="1"/>
  <c r="J16" i="1"/>
  <c r="J13" i="1"/>
  <c r="J14" i="1"/>
  <c r="I16" i="1"/>
  <c r="I13" i="1"/>
  <c r="I14" i="1"/>
  <c r="M16" i="1"/>
  <c r="M14" i="1"/>
  <c r="M13" i="1"/>
  <c r="K16" i="1"/>
  <c r="K14" i="1"/>
  <c r="K13" i="1"/>
  <c r="H13" i="1"/>
  <c r="H16" i="1"/>
  <c r="H14" i="1"/>
  <c r="G16" i="1"/>
  <c r="G14" i="1"/>
  <c r="G13" i="1"/>
  <c r="N16" i="1"/>
  <c r="N14" i="1"/>
  <c r="N13" i="1"/>
  <c r="L16" i="1"/>
  <c r="L14" i="1"/>
  <c r="L13" i="1"/>
  <c r="D16" i="1"/>
  <c r="D14" i="1"/>
  <c r="D13" i="1"/>
  <c r="E153" i="1"/>
  <c r="E163" i="1"/>
  <c r="E68" i="20"/>
  <c r="O7" i="1"/>
  <c r="O145" i="1"/>
  <c r="O45" i="1"/>
  <c r="C46" i="1"/>
  <c r="C153" i="1"/>
  <c r="F50" i="20"/>
  <c r="E70" i="20"/>
  <c r="E69" i="20"/>
  <c r="M29" i="20"/>
  <c r="K17" i="1"/>
  <c r="K6" i="20"/>
  <c r="N17" i="1"/>
  <c r="N6" i="20"/>
  <c r="M17" i="1"/>
  <c r="M6" i="20"/>
  <c r="L17" i="1"/>
  <c r="L6" i="20"/>
  <c r="K76" i="14"/>
  <c r="O76" i="14"/>
  <c r="O74" i="14"/>
  <c r="N21" i="14"/>
  <c r="T56" i="14"/>
  <c r="T90" i="14"/>
  <c r="J56" i="14"/>
  <c r="K54" i="14"/>
  <c r="K56" i="14"/>
  <c r="K40" i="14"/>
  <c r="K42" i="14"/>
  <c r="H42" i="14"/>
  <c r="E161" i="1"/>
  <c r="E164" i="1"/>
  <c r="E162" i="1"/>
  <c r="E154" i="1"/>
  <c r="E155" i="1"/>
  <c r="E152" i="1"/>
  <c r="E151" i="1"/>
  <c r="C163" i="1"/>
  <c r="C68" i="20"/>
  <c r="C154" i="1"/>
  <c r="C155" i="1"/>
  <c r="C152" i="1"/>
  <c r="C151" i="1"/>
  <c r="D153" i="1"/>
  <c r="O13" i="1"/>
  <c r="O14" i="1"/>
  <c r="C23" i="1"/>
  <c r="O46" i="1"/>
  <c r="O53" i="1"/>
  <c r="C71" i="1"/>
  <c r="C70" i="20"/>
  <c r="C69" i="20"/>
  <c r="K21" i="14"/>
  <c r="K15" i="14"/>
  <c r="K22" i="2"/>
  <c r="K19" i="2"/>
  <c r="G50" i="20"/>
  <c r="N29" i="20"/>
  <c r="N22" i="2"/>
  <c r="N19" i="2"/>
  <c r="L21" i="14"/>
  <c r="L27" i="14"/>
  <c r="L7" i="14"/>
  <c r="M21" i="14"/>
  <c r="M18" i="14"/>
  <c r="M22" i="2"/>
  <c r="M19" i="2"/>
  <c r="L22" i="2"/>
  <c r="L19" i="2"/>
  <c r="O6" i="20"/>
  <c r="C14" i="20"/>
  <c r="C93" i="20"/>
  <c r="N27" i="14"/>
  <c r="N7" i="14"/>
  <c r="N15" i="14"/>
  <c r="N17" i="14"/>
  <c r="N18" i="14"/>
  <c r="L54" i="14"/>
  <c r="L56" i="14"/>
  <c r="L40" i="14"/>
  <c r="L42" i="14"/>
  <c r="J40" i="14"/>
  <c r="C164" i="1"/>
  <c r="C161" i="1"/>
  <c r="C162" i="1"/>
  <c r="D154" i="1"/>
  <c r="D155" i="1"/>
  <c r="D151" i="1"/>
  <c r="D152" i="1"/>
  <c r="N68" i="2"/>
  <c r="D68" i="2"/>
  <c r="C22" i="1"/>
  <c r="K68" i="2"/>
  <c r="O54" i="1"/>
  <c r="C72" i="1"/>
  <c r="O15" i="1"/>
  <c r="C24" i="1"/>
  <c r="C13" i="20"/>
  <c r="D163" i="1"/>
  <c r="D68" i="20"/>
  <c r="L68" i="2"/>
  <c r="H68" i="2"/>
  <c r="G68" i="2"/>
  <c r="F68" i="2"/>
  <c r="O55" i="1"/>
  <c r="C73" i="1"/>
  <c r="O63" i="1"/>
  <c r="D71" i="1"/>
  <c r="F153" i="1"/>
  <c r="F163" i="1"/>
  <c r="F68" i="20"/>
  <c r="M68" i="2"/>
  <c r="O64" i="1"/>
  <c r="D72" i="1"/>
  <c r="J68" i="2"/>
  <c r="E68" i="2"/>
  <c r="I68" i="2"/>
  <c r="C108" i="2"/>
  <c r="C111" i="2"/>
  <c r="C97" i="2"/>
  <c r="O16" i="1"/>
  <c r="C25" i="1"/>
  <c r="K8" i="2"/>
  <c r="K27" i="14"/>
  <c r="N16" i="2"/>
  <c r="L18" i="14"/>
  <c r="M16" i="2"/>
  <c r="M15" i="14"/>
  <c r="M17" i="14"/>
  <c r="M6" i="14"/>
  <c r="D70" i="20"/>
  <c r="D69" i="20"/>
  <c r="K18" i="14"/>
  <c r="L15" i="14"/>
  <c r="L17" i="14"/>
  <c r="F70" i="20"/>
  <c r="F69" i="20"/>
  <c r="M27" i="14"/>
  <c r="M7" i="14"/>
  <c r="K16" i="2"/>
  <c r="H50" i="20"/>
  <c r="C71" i="20"/>
  <c r="O29" i="20"/>
  <c r="D37" i="20"/>
  <c r="O21" i="14"/>
  <c r="S21" i="14"/>
  <c r="C153" i="14"/>
  <c r="L16" i="2"/>
  <c r="N6" i="14"/>
  <c r="N8" i="14"/>
  <c r="K17" i="14"/>
  <c r="J42" i="14"/>
  <c r="N54" i="14"/>
  <c r="M54" i="14"/>
  <c r="M56" i="14"/>
  <c r="M40" i="14"/>
  <c r="M42" i="14"/>
  <c r="D164" i="1"/>
  <c r="D162" i="1"/>
  <c r="D161" i="1"/>
  <c r="F164" i="1"/>
  <c r="F161" i="1"/>
  <c r="F162" i="1"/>
  <c r="F154" i="1"/>
  <c r="F155" i="1"/>
  <c r="F151" i="1"/>
  <c r="F152" i="1"/>
  <c r="O57" i="1"/>
  <c r="C75" i="1"/>
  <c r="D24" i="1"/>
  <c r="D13" i="20"/>
  <c r="D15" i="20"/>
  <c r="E161" i="2"/>
  <c r="E154" i="2"/>
  <c r="E151" i="2"/>
  <c r="C161" i="2"/>
  <c r="G153" i="1"/>
  <c r="G163" i="1"/>
  <c r="G68" i="20"/>
  <c r="C113" i="2"/>
  <c r="C96" i="2"/>
  <c r="C99" i="2"/>
  <c r="O65" i="1"/>
  <c r="D73" i="1"/>
  <c r="E73" i="1"/>
  <c r="O56" i="1"/>
  <c r="C74" i="1"/>
  <c r="C34" i="20"/>
  <c r="X8" i="2"/>
  <c r="H182" i="2"/>
  <c r="C95" i="20"/>
  <c r="O9" i="20"/>
  <c r="C17" i="20"/>
  <c r="C96" i="20"/>
  <c r="L6" i="14"/>
  <c r="L8" i="14"/>
  <c r="O27" i="14"/>
  <c r="M8" i="14"/>
  <c r="O15" i="14"/>
  <c r="S15" i="14"/>
  <c r="S17" i="14"/>
  <c r="S27" i="14"/>
  <c r="C159" i="14"/>
  <c r="G70" i="20"/>
  <c r="G69" i="20"/>
  <c r="O18" i="14"/>
  <c r="S18" i="14"/>
  <c r="S20" i="14"/>
  <c r="I50" i="20"/>
  <c r="D71" i="20"/>
  <c r="O17" i="14"/>
  <c r="K7" i="14"/>
  <c r="O7" i="14"/>
  <c r="N56" i="14"/>
  <c r="O54" i="14"/>
  <c r="E140" i="2"/>
  <c r="G164" i="1"/>
  <c r="G162" i="1"/>
  <c r="G161" i="1"/>
  <c r="G154" i="1"/>
  <c r="G155" i="1"/>
  <c r="G151" i="1"/>
  <c r="G152" i="1"/>
  <c r="E71" i="1"/>
  <c r="F73" i="1"/>
  <c r="E72" i="1"/>
  <c r="E74" i="1"/>
  <c r="E24" i="1"/>
  <c r="E13" i="20"/>
  <c r="E15" i="20"/>
  <c r="D25" i="1"/>
  <c r="D22" i="1"/>
  <c r="D23" i="1"/>
  <c r="H153" i="1"/>
  <c r="H163" i="1"/>
  <c r="H68" i="20"/>
  <c r="C151" i="2"/>
  <c r="E156" i="2"/>
  <c r="E139" i="2"/>
  <c r="D108" i="2"/>
  <c r="D111" i="2"/>
  <c r="D118" i="2"/>
  <c r="C154" i="2"/>
  <c r="O66" i="1"/>
  <c r="D74" i="1"/>
  <c r="D34" i="20"/>
  <c r="E6" i="5"/>
  <c r="C151" i="14"/>
  <c r="C149" i="14"/>
  <c r="S29" i="14"/>
  <c r="C160" i="14"/>
  <c r="E75" i="1"/>
  <c r="E35" i="20"/>
  <c r="E34" i="20"/>
  <c r="E36" i="20"/>
  <c r="D95" i="20"/>
  <c r="J50" i="20"/>
  <c r="E71" i="20"/>
  <c r="H70" i="20"/>
  <c r="H69" i="20"/>
  <c r="D38" i="20"/>
  <c r="O28" i="20"/>
  <c r="D36" i="20"/>
  <c r="D26" i="1"/>
  <c r="D14" i="20"/>
  <c r="D93" i="20"/>
  <c r="S22" i="14"/>
  <c r="C150" i="14"/>
  <c r="C152" i="14"/>
  <c r="K6" i="14"/>
  <c r="N40" i="14"/>
  <c r="O56" i="14"/>
  <c r="T40" i="14"/>
  <c r="T42" i="14"/>
  <c r="E142" i="2"/>
  <c r="D97" i="2"/>
  <c r="H161" i="1"/>
  <c r="H164" i="1"/>
  <c r="H162" i="1"/>
  <c r="H154" i="1"/>
  <c r="H155" i="1"/>
  <c r="H151" i="1"/>
  <c r="H152" i="1"/>
  <c r="F71" i="1"/>
  <c r="G73" i="1"/>
  <c r="F74" i="1"/>
  <c r="F72" i="1"/>
  <c r="F24" i="1"/>
  <c r="F13" i="20"/>
  <c r="F15" i="20"/>
  <c r="E25" i="1"/>
  <c r="E22" i="1"/>
  <c r="E23" i="1"/>
  <c r="O67" i="1"/>
  <c r="D75" i="1"/>
  <c r="D8" i="16"/>
  <c r="D9" i="16"/>
  <c r="D113" i="2"/>
  <c r="D96" i="2"/>
  <c r="C140" i="2"/>
  <c r="F154" i="2"/>
  <c r="F151" i="2"/>
  <c r="F161" i="2"/>
  <c r="C156" i="2"/>
  <c r="E111" i="2"/>
  <c r="E108" i="2"/>
  <c r="E118" i="2"/>
  <c r="D161" i="2"/>
  <c r="I153" i="1"/>
  <c r="I163" i="1"/>
  <c r="I68" i="20"/>
  <c r="D100" i="20"/>
  <c r="D99" i="20"/>
  <c r="F6" i="5"/>
  <c r="E8" i="16"/>
  <c r="E9" i="16"/>
  <c r="E37" i="20"/>
  <c r="E38" i="20"/>
  <c r="U55" i="14"/>
  <c r="U49" i="14"/>
  <c r="K50" i="20"/>
  <c r="I69" i="20"/>
  <c r="I70" i="20"/>
  <c r="F75" i="1"/>
  <c r="F35" i="20"/>
  <c r="F34" i="20"/>
  <c r="F36" i="20"/>
  <c r="U69" i="2"/>
  <c r="U63" i="2"/>
  <c r="U65" i="2"/>
  <c r="D94" i="20"/>
  <c r="F71" i="20"/>
  <c r="D96" i="20"/>
  <c r="T22" i="2"/>
  <c r="T16" i="2"/>
  <c r="T21" i="14"/>
  <c r="T18" i="14"/>
  <c r="D3" i="16"/>
  <c r="D4" i="16"/>
  <c r="E26" i="1"/>
  <c r="E14" i="20"/>
  <c r="U61" i="14"/>
  <c r="C154" i="14"/>
  <c r="S8" i="14"/>
  <c r="K8" i="14"/>
  <c r="O8" i="14"/>
  <c r="O6" i="14"/>
  <c r="N42" i="14"/>
  <c r="O42" i="14"/>
  <c r="O40" i="14"/>
  <c r="E97" i="2"/>
  <c r="D99" i="2"/>
  <c r="F140" i="2"/>
  <c r="I162" i="1"/>
  <c r="I164" i="1"/>
  <c r="I161" i="1"/>
  <c r="I154" i="1"/>
  <c r="I155" i="1"/>
  <c r="I152" i="1"/>
  <c r="I151" i="1"/>
  <c r="G71" i="1"/>
  <c r="H71" i="1"/>
  <c r="G72" i="1"/>
  <c r="H72" i="1"/>
  <c r="G74" i="1"/>
  <c r="G24" i="1"/>
  <c r="G13" i="20"/>
  <c r="F22" i="1"/>
  <c r="F25" i="1"/>
  <c r="F23" i="1"/>
  <c r="F118" i="2"/>
  <c r="F108" i="2"/>
  <c r="F111" i="2"/>
  <c r="D154" i="2"/>
  <c r="G154" i="2"/>
  <c r="G161" i="2"/>
  <c r="G151" i="2"/>
  <c r="C65" i="2"/>
  <c r="C75" i="2"/>
  <c r="J153" i="1"/>
  <c r="J163" i="1"/>
  <c r="J68" i="20"/>
  <c r="D151" i="2"/>
  <c r="E113" i="2"/>
  <c r="E96" i="2"/>
  <c r="C139" i="2"/>
  <c r="F156" i="2"/>
  <c r="F139" i="2"/>
  <c r="H73" i="1"/>
  <c r="D102" i="20"/>
  <c r="C142" i="14"/>
  <c r="U52" i="14"/>
  <c r="V55" i="14"/>
  <c r="V52" i="14"/>
  <c r="T15" i="14"/>
  <c r="T17" i="14"/>
  <c r="T19" i="2"/>
  <c r="T21" i="2"/>
  <c r="T28" i="2"/>
  <c r="T27" i="14"/>
  <c r="U75" i="2"/>
  <c r="U66" i="2"/>
  <c r="U68" i="2"/>
  <c r="U70" i="2"/>
  <c r="U53" i="2"/>
  <c r="D101" i="20"/>
  <c r="F37" i="20"/>
  <c r="F38" i="20"/>
  <c r="G75" i="1"/>
  <c r="G35" i="20"/>
  <c r="H35" i="20"/>
  <c r="G34" i="20"/>
  <c r="G36" i="20"/>
  <c r="H36" i="20"/>
  <c r="L50" i="20"/>
  <c r="J70" i="20"/>
  <c r="J69" i="20"/>
  <c r="U21" i="14"/>
  <c r="U27" i="14"/>
  <c r="F8" i="16"/>
  <c r="F9" i="16"/>
  <c r="G71" i="20"/>
  <c r="H13" i="20"/>
  <c r="G15" i="20"/>
  <c r="E3" i="16"/>
  <c r="E4" i="16"/>
  <c r="U22" i="2"/>
  <c r="U28" i="2"/>
  <c r="F26" i="1"/>
  <c r="F14" i="20"/>
  <c r="U51" i="14"/>
  <c r="T18" i="2"/>
  <c r="F97" i="2"/>
  <c r="F142" i="2"/>
  <c r="E99" i="2"/>
  <c r="G140" i="2"/>
  <c r="C54" i="2"/>
  <c r="J164" i="1"/>
  <c r="J161" i="1"/>
  <c r="J162" i="1"/>
  <c r="J154" i="1"/>
  <c r="J155" i="1"/>
  <c r="J151" i="1"/>
  <c r="J152" i="1"/>
  <c r="H74" i="1"/>
  <c r="H34" i="20"/>
  <c r="G25" i="1"/>
  <c r="G23" i="1"/>
  <c r="H23" i="1"/>
  <c r="G22" i="1"/>
  <c r="H22" i="1"/>
  <c r="H24" i="1"/>
  <c r="F113" i="2"/>
  <c r="F96" i="2"/>
  <c r="G156" i="2"/>
  <c r="G139" i="2"/>
  <c r="C142" i="2"/>
  <c r="C68" i="2"/>
  <c r="H151" i="2"/>
  <c r="H161" i="2"/>
  <c r="D140" i="2"/>
  <c r="D156" i="2"/>
  <c r="K153" i="1"/>
  <c r="K163" i="1"/>
  <c r="K68" i="20"/>
  <c r="G108" i="2"/>
  <c r="G111" i="2"/>
  <c r="G118" i="2"/>
  <c r="V69" i="2"/>
  <c r="V61" i="14"/>
  <c r="V41" i="14"/>
  <c r="V49" i="14"/>
  <c r="V51" i="14"/>
  <c r="W69" i="2"/>
  <c r="W66" i="2"/>
  <c r="W68" i="2"/>
  <c r="W55" i="14"/>
  <c r="W52" i="14"/>
  <c r="U56" i="2"/>
  <c r="H75" i="1"/>
  <c r="G8" i="16"/>
  <c r="G9" i="16"/>
  <c r="U15" i="14"/>
  <c r="U17" i="14"/>
  <c r="U18" i="14"/>
  <c r="V22" i="2"/>
  <c r="V28" i="2"/>
  <c r="F3" i="16"/>
  <c r="F4" i="16"/>
  <c r="K70" i="20"/>
  <c r="K69" i="20"/>
  <c r="H71" i="20"/>
  <c r="G37" i="20"/>
  <c r="M50" i="20"/>
  <c r="H16" i="20"/>
  <c r="H17" i="20"/>
  <c r="H15" i="20"/>
  <c r="V21" i="14"/>
  <c r="V15" i="14"/>
  <c r="U19" i="2"/>
  <c r="U21" i="2"/>
  <c r="U16" i="2"/>
  <c r="U18" i="2"/>
  <c r="V56" i="14"/>
  <c r="V40" i="14"/>
  <c r="V42" i="14"/>
  <c r="U56" i="14"/>
  <c r="T22" i="14"/>
  <c r="T7" i="14"/>
  <c r="U41" i="14"/>
  <c r="T23" i="2"/>
  <c r="T6" i="2"/>
  <c r="G142" i="2"/>
  <c r="F99" i="2"/>
  <c r="V66" i="2"/>
  <c r="V68" i="2"/>
  <c r="V63" i="2"/>
  <c r="V65" i="2"/>
  <c r="C70" i="2"/>
  <c r="C53" i="2"/>
  <c r="C56" i="2"/>
  <c r="O68" i="2"/>
  <c r="G97" i="2"/>
  <c r="K162" i="1"/>
  <c r="K164" i="1"/>
  <c r="K165" i="1"/>
  <c r="K161" i="1"/>
  <c r="K154" i="1"/>
  <c r="K155" i="1"/>
  <c r="K151" i="1"/>
  <c r="K152" i="1"/>
  <c r="G26" i="1"/>
  <c r="G14" i="20"/>
  <c r="H25" i="1"/>
  <c r="D139" i="2"/>
  <c r="G113" i="2"/>
  <c r="G96" i="2"/>
  <c r="H108" i="2"/>
  <c r="H118" i="2"/>
  <c r="H111" i="2"/>
  <c r="I161" i="2"/>
  <c r="I154" i="2"/>
  <c r="H154" i="2"/>
  <c r="L153" i="1"/>
  <c r="L163" i="1"/>
  <c r="L68" i="20"/>
  <c r="V75" i="2"/>
  <c r="W61" i="14"/>
  <c r="T9" i="2"/>
  <c r="V27" i="14"/>
  <c r="W63" i="2"/>
  <c r="W65" i="2"/>
  <c r="W70" i="2"/>
  <c r="W53" i="2"/>
  <c r="W75" i="2"/>
  <c r="W49" i="14"/>
  <c r="X49" i="14"/>
  <c r="X55" i="14"/>
  <c r="H8" i="16"/>
  <c r="V19" i="2"/>
  <c r="V21" i="2"/>
  <c r="V16" i="2"/>
  <c r="V18" i="2"/>
  <c r="L70" i="20"/>
  <c r="L69" i="20"/>
  <c r="N50" i="20"/>
  <c r="G38" i="20"/>
  <c r="H38" i="20"/>
  <c r="H37" i="20"/>
  <c r="V18" i="14"/>
  <c r="I71" i="20"/>
  <c r="H9" i="16"/>
  <c r="K155" i="2"/>
  <c r="K152" i="2"/>
  <c r="K123" i="14"/>
  <c r="U7" i="14"/>
  <c r="T6" i="14"/>
  <c r="V17" i="14"/>
  <c r="V7" i="14"/>
  <c r="X54" i="14"/>
  <c r="X52" i="14"/>
  <c r="U22" i="14"/>
  <c r="U6" i="14"/>
  <c r="U40" i="14"/>
  <c r="U42" i="14"/>
  <c r="W22" i="2"/>
  <c r="W19" i="2"/>
  <c r="W21" i="2"/>
  <c r="G3" i="16"/>
  <c r="G4" i="16"/>
  <c r="W21" i="14"/>
  <c r="X61" i="14"/>
  <c r="I140" i="2"/>
  <c r="G99" i="2"/>
  <c r="H97" i="2"/>
  <c r="L164" i="1"/>
  <c r="L165" i="1"/>
  <c r="L162" i="1"/>
  <c r="L161" i="1"/>
  <c r="L154" i="1"/>
  <c r="L155" i="1"/>
  <c r="L151" i="1"/>
  <c r="L152" i="1"/>
  <c r="H113" i="2"/>
  <c r="H96" i="2"/>
  <c r="J154" i="2"/>
  <c r="J161" i="2"/>
  <c r="J151" i="2"/>
  <c r="D142" i="2"/>
  <c r="M153" i="1"/>
  <c r="M163" i="1"/>
  <c r="M68" i="20"/>
  <c r="H156" i="2"/>
  <c r="I151" i="2"/>
  <c r="H140" i="2"/>
  <c r="I118" i="2"/>
  <c r="I108" i="2"/>
  <c r="I111" i="2"/>
  <c r="V70" i="2"/>
  <c r="V53" i="2"/>
  <c r="U23" i="2"/>
  <c r="W56" i="2"/>
  <c r="W51" i="14"/>
  <c r="X51" i="14"/>
  <c r="W16" i="2"/>
  <c r="W18" i="2"/>
  <c r="W23" i="2"/>
  <c r="W6" i="2"/>
  <c r="J71" i="20"/>
  <c r="O50" i="20"/>
  <c r="E58" i="20"/>
  <c r="M69" i="20"/>
  <c r="M70" i="20"/>
  <c r="U8" i="14"/>
  <c r="K149" i="2"/>
  <c r="W56" i="14"/>
  <c r="V22" i="14"/>
  <c r="V6" i="14"/>
  <c r="V8" i="14"/>
  <c r="W28" i="2"/>
  <c r="L155" i="2"/>
  <c r="L149" i="2"/>
  <c r="L123" i="14"/>
  <c r="T8" i="14"/>
  <c r="W41" i="14"/>
  <c r="X63" i="14"/>
  <c r="X41" i="14"/>
  <c r="K129" i="14"/>
  <c r="K120" i="14"/>
  <c r="K117" i="14"/>
  <c r="W18" i="14"/>
  <c r="W15" i="14"/>
  <c r="W27" i="14"/>
  <c r="X21" i="14"/>
  <c r="V23" i="2"/>
  <c r="V6" i="2"/>
  <c r="V9" i="2"/>
  <c r="V56" i="2"/>
  <c r="I97" i="2"/>
  <c r="H99" i="2"/>
  <c r="M161" i="1"/>
  <c r="M164" i="1"/>
  <c r="M165" i="1"/>
  <c r="M162" i="1"/>
  <c r="M154" i="1"/>
  <c r="M155" i="1"/>
  <c r="M152" i="1"/>
  <c r="M151" i="1"/>
  <c r="J118" i="2"/>
  <c r="J111" i="2"/>
  <c r="J108" i="2"/>
  <c r="H139" i="2"/>
  <c r="I113" i="2"/>
  <c r="I96" i="2"/>
  <c r="N153" i="1"/>
  <c r="N163" i="1"/>
  <c r="N68" i="20"/>
  <c r="I156" i="2"/>
  <c r="I139" i="2"/>
  <c r="I142" i="2"/>
  <c r="J156" i="2"/>
  <c r="J139" i="2"/>
  <c r="U6" i="2"/>
  <c r="U9" i="2"/>
  <c r="K71" i="20"/>
  <c r="N70" i="20"/>
  <c r="N69" i="20"/>
  <c r="O69" i="20"/>
  <c r="E77" i="20"/>
  <c r="E93" i="20"/>
  <c r="O68" i="20"/>
  <c r="E76" i="20"/>
  <c r="L152" i="2"/>
  <c r="L154" i="2"/>
  <c r="W17" i="14"/>
  <c r="X15" i="14"/>
  <c r="X18" i="14"/>
  <c r="W40" i="14"/>
  <c r="W42" i="14"/>
  <c r="X56" i="14"/>
  <c r="X40" i="14"/>
  <c r="X42" i="14"/>
  <c r="K131" i="14"/>
  <c r="K119" i="14"/>
  <c r="L120" i="14"/>
  <c r="L122" i="14"/>
  <c r="L117" i="14"/>
  <c r="L119" i="14"/>
  <c r="L129" i="14"/>
  <c r="L131" i="14"/>
  <c r="L109" i="14"/>
  <c r="X27" i="14"/>
  <c r="M155" i="2"/>
  <c r="M152" i="2"/>
  <c r="M123" i="14"/>
  <c r="K122" i="14"/>
  <c r="W9" i="2"/>
  <c r="I99" i="2"/>
  <c r="N164" i="1"/>
  <c r="N165" i="1"/>
  <c r="N161" i="1"/>
  <c r="N162" i="1"/>
  <c r="N154" i="1"/>
  <c r="N155" i="1"/>
  <c r="O155" i="1"/>
  <c r="C175" i="1"/>
  <c r="N152" i="1"/>
  <c r="O152" i="1"/>
  <c r="C172" i="1"/>
  <c r="N151" i="1"/>
  <c r="O151" i="1"/>
  <c r="J140" i="2"/>
  <c r="J142" i="2"/>
  <c r="L161" i="2"/>
  <c r="L151" i="2"/>
  <c r="H142" i="2"/>
  <c r="L108" i="2"/>
  <c r="L118" i="2"/>
  <c r="L111" i="2"/>
  <c r="O153" i="1"/>
  <c r="C173" i="1"/>
  <c r="C76" i="20"/>
  <c r="J97" i="2"/>
  <c r="J113" i="2"/>
  <c r="E100" i="20"/>
  <c r="L71" i="20"/>
  <c r="E92" i="20"/>
  <c r="O70" i="20"/>
  <c r="E78" i="20"/>
  <c r="L124" i="14"/>
  <c r="L108" i="14"/>
  <c r="L110" i="14"/>
  <c r="K124" i="14"/>
  <c r="X20" i="14"/>
  <c r="M129" i="14"/>
  <c r="M120" i="14"/>
  <c r="M122" i="14"/>
  <c r="M117" i="14"/>
  <c r="M149" i="2"/>
  <c r="W7" i="14"/>
  <c r="X29" i="14"/>
  <c r="K109" i="14"/>
  <c r="W22" i="14"/>
  <c r="X17" i="14"/>
  <c r="N155" i="2"/>
  <c r="N152" i="2"/>
  <c r="N123" i="14"/>
  <c r="L97" i="2"/>
  <c r="L140" i="2"/>
  <c r="C171" i="1"/>
  <c r="O103" i="1"/>
  <c r="C122" i="1"/>
  <c r="C198" i="1"/>
  <c r="L156" i="2"/>
  <c r="L139" i="2"/>
  <c r="O154" i="1"/>
  <c r="C174" i="1"/>
  <c r="O162" i="1"/>
  <c r="D172" i="1"/>
  <c r="O163" i="1"/>
  <c r="D173" i="1"/>
  <c r="D76" i="20"/>
  <c r="L113" i="2"/>
  <c r="L96" i="2"/>
  <c r="O113" i="1"/>
  <c r="D122" i="1"/>
  <c r="O102" i="1"/>
  <c r="C121" i="1"/>
  <c r="O104" i="1"/>
  <c r="C123" i="1"/>
  <c r="O106" i="1"/>
  <c r="C125" i="1"/>
  <c r="K154" i="2"/>
  <c r="K161" i="2"/>
  <c r="O161" i="1"/>
  <c r="D171" i="1"/>
  <c r="J96" i="2"/>
  <c r="M118" i="2"/>
  <c r="M71" i="20"/>
  <c r="C199" i="1"/>
  <c r="C55" i="20"/>
  <c r="C92" i="20"/>
  <c r="E94" i="20"/>
  <c r="N149" i="2"/>
  <c r="M119" i="14"/>
  <c r="M124" i="14"/>
  <c r="M108" i="14"/>
  <c r="M131" i="14"/>
  <c r="N129" i="14"/>
  <c r="N131" i="14"/>
  <c r="N109" i="14"/>
  <c r="N117" i="14"/>
  <c r="N119" i="14"/>
  <c r="N120" i="14"/>
  <c r="N122" i="14"/>
  <c r="X7" i="14"/>
  <c r="W6" i="14"/>
  <c r="X6" i="14"/>
  <c r="X22" i="14"/>
  <c r="O123" i="14"/>
  <c r="T123" i="14"/>
  <c r="K108" i="14"/>
  <c r="E173" i="1"/>
  <c r="F173" i="1"/>
  <c r="F76" i="20"/>
  <c r="L142" i="2"/>
  <c r="L99" i="2"/>
  <c r="D198" i="1"/>
  <c r="D206" i="1"/>
  <c r="C197" i="1"/>
  <c r="O112" i="1"/>
  <c r="D121" i="1"/>
  <c r="D197" i="1"/>
  <c r="K151" i="2"/>
  <c r="O165" i="1"/>
  <c r="D175" i="1"/>
  <c r="D20" i="16"/>
  <c r="D21" i="16"/>
  <c r="O164" i="1"/>
  <c r="D174" i="1"/>
  <c r="O114" i="1"/>
  <c r="D123" i="1"/>
  <c r="N151" i="2"/>
  <c r="N161" i="2"/>
  <c r="O155" i="2"/>
  <c r="T155" i="2"/>
  <c r="O105" i="1"/>
  <c r="C124" i="1"/>
  <c r="C200" i="1"/>
  <c r="M161" i="2"/>
  <c r="M151" i="2"/>
  <c r="M154" i="2"/>
  <c r="M111" i="2"/>
  <c r="M108" i="2"/>
  <c r="J99" i="2"/>
  <c r="E101" i="20"/>
  <c r="E123" i="1"/>
  <c r="E121" i="1"/>
  <c r="D55" i="20"/>
  <c r="D92" i="20"/>
  <c r="N71" i="20"/>
  <c r="F78" i="20"/>
  <c r="N124" i="14"/>
  <c r="N108" i="14"/>
  <c r="O108" i="14"/>
  <c r="O120" i="14"/>
  <c r="T120" i="14"/>
  <c r="O122" i="14"/>
  <c r="E171" i="1"/>
  <c r="T129" i="14"/>
  <c r="D153" i="14"/>
  <c r="O129" i="14"/>
  <c r="M109" i="14"/>
  <c r="O109" i="14"/>
  <c r="O131" i="14"/>
  <c r="T109" i="14"/>
  <c r="W8" i="14"/>
  <c r="X8" i="14"/>
  <c r="E172" i="1"/>
  <c r="O117" i="14"/>
  <c r="T117" i="14"/>
  <c r="K110" i="14"/>
  <c r="O119" i="14"/>
  <c r="D200" i="1"/>
  <c r="N140" i="2"/>
  <c r="M140" i="2"/>
  <c r="D205" i="1"/>
  <c r="D199" i="1"/>
  <c r="D204" i="1"/>
  <c r="G173" i="1"/>
  <c r="F171" i="1"/>
  <c r="F172" i="1"/>
  <c r="K118" i="2"/>
  <c r="E174" i="1"/>
  <c r="O161" i="2"/>
  <c r="O149" i="2"/>
  <c r="T149" i="2"/>
  <c r="K140" i="2"/>
  <c r="K156" i="2"/>
  <c r="O151" i="2"/>
  <c r="T161" i="2"/>
  <c r="M156" i="2"/>
  <c r="M139" i="2"/>
  <c r="N154" i="2"/>
  <c r="O154" i="2"/>
  <c r="O152" i="2"/>
  <c r="T152" i="2"/>
  <c r="O116" i="1"/>
  <c r="D125" i="1"/>
  <c r="M97" i="2"/>
  <c r="M113" i="2"/>
  <c r="E122" i="1"/>
  <c r="E198" i="1"/>
  <c r="E206" i="1"/>
  <c r="F123" i="1"/>
  <c r="F55" i="20"/>
  <c r="F57" i="20"/>
  <c r="F94" i="20"/>
  <c r="E124" i="1"/>
  <c r="E125" i="1"/>
  <c r="E14" i="16"/>
  <c r="E15" i="16"/>
  <c r="F92" i="20"/>
  <c r="N110" i="14"/>
  <c r="O72" i="20"/>
  <c r="E80" i="20"/>
  <c r="O71" i="20"/>
  <c r="E79" i="20"/>
  <c r="H173" i="1"/>
  <c r="G76" i="20"/>
  <c r="D151" i="14"/>
  <c r="O124" i="14"/>
  <c r="T108" i="14"/>
  <c r="T110" i="14"/>
  <c r="E197" i="1"/>
  <c r="E205" i="1"/>
  <c r="T119" i="14"/>
  <c r="D149" i="14"/>
  <c r="M110" i="14"/>
  <c r="D201" i="1"/>
  <c r="D14" i="16"/>
  <c r="D15" i="16"/>
  <c r="D159" i="14"/>
  <c r="O140" i="2"/>
  <c r="M142" i="2"/>
  <c r="E175" i="1"/>
  <c r="G172" i="1"/>
  <c r="H172" i="1"/>
  <c r="G171" i="1"/>
  <c r="H171" i="1"/>
  <c r="G123" i="1"/>
  <c r="F124" i="1"/>
  <c r="K108" i="2"/>
  <c r="T154" i="2"/>
  <c r="N156" i="2"/>
  <c r="N139" i="2"/>
  <c r="N142" i="2"/>
  <c r="T151" i="2"/>
  <c r="F174" i="1"/>
  <c r="G174" i="1"/>
  <c r="K111" i="2"/>
  <c r="K139" i="2"/>
  <c r="E199" i="1"/>
  <c r="E204" i="1"/>
  <c r="M96" i="2"/>
  <c r="F58" i="20"/>
  <c r="F59" i="20"/>
  <c r="U89" i="14"/>
  <c r="U83" i="14"/>
  <c r="F122" i="1"/>
  <c r="F198" i="1"/>
  <c r="F206" i="1"/>
  <c r="U112" i="2"/>
  <c r="U109" i="2"/>
  <c r="U111" i="2"/>
  <c r="F121" i="1"/>
  <c r="F197" i="1"/>
  <c r="F205" i="1"/>
  <c r="O110" i="14"/>
  <c r="E200" i="1"/>
  <c r="G78" i="20"/>
  <c r="H76" i="20"/>
  <c r="E96" i="20"/>
  <c r="H123" i="1"/>
  <c r="H55" i="20"/>
  <c r="G55" i="20"/>
  <c r="G57" i="20"/>
  <c r="F79" i="20"/>
  <c r="E95" i="20"/>
  <c r="F101" i="20"/>
  <c r="D24" i="16"/>
  <c r="U86" i="14"/>
  <c r="U123" i="14"/>
  <c r="E20" i="16"/>
  <c r="E21" i="16"/>
  <c r="T124" i="14"/>
  <c r="D150" i="14"/>
  <c r="H174" i="1"/>
  <c r="E201" i="1"/>
  <c r="E207" i="1"/>
  <c r="U155" i="2"/>
  <c r="G175" i="1"/>
  <c r="G77" i="20"/>
  <c r="F200" i="1"/>
  <c r="F175" i="1"/>
  <c r="F77" i="20"/>
  <c r="G122" i="1"/>
  <c r="G124" i="1"/>
  <c r="G125" i="1"/>
  <c r="G56" i="20"/>
  <c r="G121" i="1"/>
  <c r="F125" i="1"/>
  <c r="F56" i="20"/>
  <c r="O156" i="2"/>
  <c r="T139" i="2"/>
  <c r="T142" i="2"/>
  <c r="T156" i="2"/>
  <c r="K142" i="2"/>
  <c r="O139" i="2"/>
  <c r="K113" i="2"/>
  <c r="K97" i="2"/>
  <c r="F199" i="1"/>
  <c r="F204" i="1"/>
  <c r="M99" i="2"/>
  <c r="U95" i="14"/>
  <c r="H122" i="1"/>
  <c r="H121" i="1"/>
  <c r="U106" i="2"/>
  <c r="G93" i="20"/>
  <c r="F93" i="20"/>
  <c r="E99" i="20"/>
  <c r="G6" i="5"/>
  <c r="F95" i="20"/>
  <c r="F80" i="20"/>
  <c r="E102" i="20"/>
  <c r="G58" i="20"/>
  <c r="H57" i="20"/>
  <c r="H77" i="20"/>
  <c r="G94" i="20"/>
  <c r="G79" i="20"/>
  <c r="H78" i="20"/>
  <c r="H56" i="20"/>
  <c r="G92" i="20"/>
  <c r="H92" i="20"/>
  <c r="E24" i="16"/>
  <c r="U129" i="14"/>
  <c r="E159" i="14"/>
  <c r="U120" i="14"/>
  <c r="E151" i="14"/>
  <c r="U117" i="14"/>
  <c r="E149" i="14"/>
  <c r="V112" i="2"/>
  <c r="V106" i="2"/>
  <c r="F14" i="16"/>
  <c r="F15" i="16"/>
  <c r="V89" i="14"/>
  <c r="E153" i="14"/>
  <c r="W155" i="2"/>
  <c r="W152" i="2"/>
  <c r="W154" i="2"/>
  <c r="W123" i="14"/>
  <c r="G20" i="16"/>
  <c r="G21" i="16"/>
  <c r="W112" i="2"/>
  <c r="W109" i="2"/>
  <c r="G14" i="16"/>
  <c r="G15" i="16"/>
  <c r="W89" i="14"/>
  <c r="V155" i="2"/>
  <c r="V123" i="14"/>
  <c r="F20" i="16"/>
  <c r="F21" i="16"/>
  <c r="U85" i="14"/>
  <c r="H175" i="1"/>
  <c r="U149" i="2"/>
  <c r="U152" i="2"/>
  <c r="E194" i="2"/>
  <c r="G5" i="5"/>
  <c r="G200" i="1"/>
  <c r="G201" i="1"/>
  <c r="H125" i="1"/>
  <c r="H124" i="1"/>
  <c r="G198" i="1"/>
  <c r="G206" i="1"/>
  <c r="G197" i="1"/>
  <c r="F201" i="1"/>
  <c r="F207" i="1"/>
  <c r="O142" i="2"/>
  <c r="N118" i="2"/>
  <c r="O112" i="2"/>
  <c r="T112" i="2"/>
  <c r="K96" i="2"/>
  <c r="G199" i="1"/>
  <c r="F99" i="20"/>
  <c r="H6" i="5"/>
  <c r="F100" i="20"/>
  <c r="H93" i="20"/>
  <c r="G100" i="20"/>
  <c r="G80" i="20"/>
  <c r="H80" i="20"/>
  <c r="G95" i="20"/>
  <c r="H79" i="20"/>
  <c r="G101" i="20"/>
  <c r="H94" i="20"/>
  <c r="G59" i="20"/>
  <c r="H59" i="20"/>
  <c r="H58" i="20"/>
  <c r="F96" i="20"/>
  <c r="V109" i="2"/>
  <c r="F194" i="2"/>
  <c r="H5" i="5"/>
  <c r="X112" i="2"/>
  <c r="V149" i="2"/>
  <c r="V151" i="2"/>
  <c r="H21" i="16"/>
  <c r="F24" i="16"/>
  <c r="W118" i="2"/>
  <c r="W106" i="2"/>
  <c r="W108" i="2"/>
  <c r="V161" i="2"/>
  <c r="V152" i="2"/>
  <c r="V154" i="2"/>
  <c r="H20" i="16"/>
  <c r="X123" i="14"/>
  <c r="G24" i="16"/>
  <c r="H15" i="16"/>
  <c r="X155" i="2"/>
  <c r="W161" i="2"/>
  <c r="W149" i="2"/>
  <c r="W151" i="2"/>
  <c r="W156" i="2"/>
  <c r="W95" i="14"/>
  <c r="W86" i="14"/>
  <c r="W83" i="14"/>
  <c r="G153" i="14"/>
  <c r="V83" i="14"/>
  <c r="V95" i="14"/>
  <c r="V86" i="14"/>
  <c r="F153" i="14"/>
  <c r="X89" i="14"/>
  <c r="H14" i="16"/>
  <c r="U75" i="14"/>
  <c r="W120" i="14"/>
  <c r="W117" i="14"/>
  <c r="W119" i="14"/>
  <c r="W129" i="14"/>
  <c r="U119" i="14"/>
  <c r="E150" i="14"/>
  <c r="V129" i="14"/>
  <c r="V109" i="14"/>
  <c r="V120" i="14"/>
  <c r="V117" i="14"/>
  <c r="V119" i="14"/>
  <c r="G194" i="2"/>
  <c r="I5" i="5"/>
  <c r="U90" i="14"/>
  <c r="V111" i="2"/>
  <c r="V108" i="2"/>
  <c r="E190" i="2"/>
  <c r="W111" i="2"/>
  <c r="G193" i="2"/>
  <c r="G192" i="2"/>
  <c r="E192" i="2"/>
  <c r="H198" i="1"/>
  <c r="U154" i="2"/>
  <c r="U151" i="2"/>
  <c r="G207" i="1"/>
  <c r="U161" i="2"/>
  <c r="G205" i="1"/>
  <c r="H197" i="1"/>
  <c r="H200" i="1"/>
  <c r="G204" i="1"/>
  <c r="H199" i="1"/>
  <c r="T118" i="2"/>
  <c r="N108" i="2"/>
  <c r="O106" i="2"/>
  <c r="T106" i="2"/>
  <c r="K99" i="2"/>
  <c r="O118" i="2"/>
  <c r="U118" i="2"/>
  <c r="U108" i="2"/>
  <c r="N111" i="2"/>
  <c r="O111" i="2"/>
  <c r="O109" i="2"/>
  <c r="T109" i="2"/>
  <c r="I6" i="5"/>
  <c r="J6" i="5"/>
  <c r="H153" i="14"/>
  <c r="D142" i="14"/>
  <c r="F193" i="2"/>
  <c r="G96" i="20"/>
  <c r="H96" i="20"/>
  <c r="H95" i="20"/>
  <c r="G99" i="20"/>
  <c r="F102" i="20"/>
  <c r="F190" i="2"/>
  <c r="V156" i="2"/>
  <c r="V139" i="2"/>
  <c r="V142" i="2"/>
  <c r="F191" i="2"/>
  <c r="X152" i="2"/>
  <c r="G191" i="2"/>
  <c r="F192" i="2"/>
  <c r="V124" i="14"/>
  <c r="V108" i="14"/>
  <c r="V110" i="14"/>
  <c r="X106" i="2"/>
  <c r="G200" i="2"/>
  <c r="W124" i="14"/>
  <c r="X149" i="2"/>
  <c r="X122" i="14"/>
  <c r="X151" i="2"/>
  <c r="G190" i="2"/>
  <c r="E200" i="2"/>
  <c r="X129" i="14"/>
  <c r="X117" i="14"/>
  <c r="E191" i="2"/>
  <c r="X120" i="14"/>
  <c r="F159" i="14"/>
  <c r="X95" i="14"/>
  <c r="U109" i="14"/>
  <c r="X131" i="14"/>
  <c r="V85" i="14"/>
  <c r="F149" i="14"/>
  <c r="X83" i="14"/>
  <c r="W85" i="14"/>
  <c r="G149" i="14"/>
  <c r="H149" i="14"/>
  <c r="U74" i="14"/>
  <c r="U76" i="14"/>
  <c r="U124" i="14"/>
  <c r="X119" i="14"/>
  <c r="G151" i="14"/>
  <c r="G159" i="14"/>
  <c r="F151" i="14"/>
  <c r="X86" i="14"/>
  <c r="X109" i="2"/>
  <c r="D192" i="2"/>
  <c r="X154" i="2"/>
  <c r="E193" i="2"/>
  <c r="X140" i="2"/>
  <c r="X161" i="2"/>
  <c r="U156" i="2"/>
  <c r="U113" i="2"/>
  <c r="U96" i="2"/>
  <c r="N113" i="2"/>
  <c r="O108" i="2"/>
  <c r="T111" i="2"/>
  <c r="N97" i="2"/>
  <c r="O97" i="2"/>
  <c r="V118" i="2"/>
  <c r="F200" i="2"/>
  <c r="T108" i="2"/>
  <c r="O69" i="2"/>
  <c r="T69" i="2"/>
  <c r="D194" i="2"/>
  <c r="F5" i="5"/>
  <c r="E75" i="2"/>
  <c r="F75" i="2"/>
  <c r="N75" i="2"/>
  <c r="L65" i="2"/>
  <c r="L70" i="2"/>
  <c r="L53" i="2"/>
  <c r="L75" i="2"/>
  <c r="E65" i="2"/>
  <c r="E70" i="2"/>
  <c r="E53" i="2"/>
  <c r="I75" i="2"/>
  <c r="G75" i="2"/>
  <c r="N65" i="2"/>
  <c r="N70" i="2"/>
  <c r="N53" i="2"/>
  <c r="J75" i="2"/>
  <c r="J65" i="2"/>
  <c r="J70" i="2"/>
  <c r="J53" i="2"/>
  <c r="G65" i="2"/>
  <c r="G70" i="2"/>
  <c r="G53" i="2"/>
  <c r="H65" i="2"/>
  <c r="H70" i="2"/>
  <c r="H53" i="2"/>
  <c r="H75" i="2"/>
  <c r="I65" i="2"/>
  <c r="I70" i="2"/>
  <c r="I53" i="2"/>
  <c r="M65" i="2"/>
  <c r="M70" i="2"/>
  <c r="M53" i="2"/>
  <c r="M75" i="2"/>
  <c r="K65" i="2"/>
  <c r="K70" i="2"/>
  <c r="K53" i="2"/>
  <c r="K75" i="2"/>
  <c r="D75" i="2"/>
  <c r="F65" i="2"/>
  <c r="F70" i="2"/>
  <c r="F53" i="2"/>
  <c r="H206" i="2"/>
  <c r="G102" i="20"/>
  <c r="H151" i="14"/>
  <c r="H159" i="14"/>
  <c r="X109" i="14"/>
  <c r="W109" i="14"/>
  <c r="W75" i="14"/>
  <c r="W90" i="14"/>
  <c r="W74" i="14"/>
  <c r="G150" i="14"/>
  <c r="V75" i="14"/>
  <c r="X97" i="14"/>
  <c r="X75" i="14"/>
  <c r="H152" i="14"/>
  <c r="X88" i="14"/>
  <c r="U108" i="14"/>
  <c r="U110" i="14"/>
  <c r="X124" i="14"/>
  <c r="V90" i="14"/>
  <c r="F150" i="14"/>
  <c r="X85" i="14"/>
  <c r="U99" i="2"/>
  <c r="U139" i="2"/>
  <c r="X156" i="2"/>
  <c r="X139" i="2"/>
  <c r="X142" i="2"/>
  <c r="N54" i="2"/>
  <c r="N56" i="2"/>
  <c r="J54" i="2"/>
  <c r="J56" i="2"/>
  <c r="F54" i="2"/>
  <c r="F56" i="2"/>
  <c r="M54" i="2"/>
  <c r="M56" i="2"/>
  <c r="G54" i="2"/>
  <c r="G56" i="2"/>
  <c r="D54" i="2"/>
  <c r="I54" i="2"/>
  <c r="I56" i="2"/>
  <c r="L54" i="2"/>
  <c r="L56" i="2"/>
  <c r="H54" i="2"/>
  <c r="H56" i="2"/>
  <c r="X118" i="2"/>
  <c r="T113" i="2"/>
  <c r="F195" i="2"/>
  <c r="F180" i="2"/>
  <c r="X111" i="2"/>
  <c r="E195" i="2"/>
  <c r="E180" i="2"/>
  <c r="X108" i="2"/>
  <c r="V113" i="2"/>
  <c r="N96" i="2"/>
  <c r="O113" i="2"/>
  <c r="T96" i="2"/>
  <c r="T99" i="2"/>
  <c r="O75" i="2"/>
  <c r="T75" i="2"/>
  <c r="X69" i="2"/>
  <c r="O63" i="2"/>
  <c r="T63" i="2"/>
  <c r="D190" i="2"/>
  <c r="E54" i="2"/>
  <c r="E56" i="2"/>
  <c r="D65" i="2"/>
  <c r="H207" i="2"/>
  <c r="E183" i="2"/>
  <c r="E142" i="14"/>
  <c r="U142" i="2"/>
  <c r="H150" i="14"/>
  <c r="W76" i="14"/>
  <c r="X108" i="14"/>
  <c r="X110" i="14"/>
  <c r="W108" i="14"/>
  <c r="W110" i="14"/>
  <c r="H160" i="14"/>
  <c r="V74" i="14"/>
  <c r="V76" i="14"/>
  <c r="X90" i="14"/>
  <c r="X74" i="14"/>
  <c r="X76" i="14"/>
  <c r="D200" i="2"/>
  <c r="W139" i="2"/>
  <c r="W142" i="2"/>
  <c r="X120" i="2"/>
  <c r="X97" i="2"/>
  <c r="K54" i="2"/>
  <c r="K56" i="2"/>
  <c r="T65" i="2"/>
  <c r="X63" i="2"/>
  <c r="V96" i="2"/>
  <c r="W113" i="2"/>
  <c r="W96" i="2"/>
  <c r="G195" i="2"/>
  <c r="G180" i="2"/>
  <c r="N99" i="2"/>
  <c r="O96" i="2"/>
  <c r="X66" i="2"/>
  <c r="T68" i="2"/>
  <c r="X75" i="2"/>
  <c r="O65" i="2"/>
  <c r="D70" i="2"/>
  <c r="F183" i="2"/>
  <c r="V99" i="2"/>
  <c r="H141" i="14"/>
  <c r="J12" i="5"/>
  <c r="H154" i="14"/>
  <c r="X77" i="2"/>
  <c r="X54" i="2"/>
  <c r="X68" i="2"/>
  <c r="D193" i="2"/>
  <c r="O54" i="2"/>
  <c r="X65" i="2"/>
  <c r="D191" i="2"/>
  <c r="X113" i="2"/>
  <c r="X96" i="2"/>
  <c r="X99" i="2"/>
  <c r="W99" i="2"/>
  <c r="O99" i="2"/>
  <c r="T70" i="2"/>
  <c r="X70" i="2"/>
  <c r="X53" i="2"/>
  <c r="X56" i="2"/>
  <c r="D53" i="2"/>
  <c r="O70" i="2"/>
  <c r="T53" i="2"/>
  <c r="H209" i="2"/>
  <c r="F142" i="14"/>
  <c r="H140" i="14"/>
  <c r="D195" i="2"/>
  <c r="T56" i="2"/>
  <c r="O53" i="2"/>
  <c r="D56" i="2"/>
  <c r="O56" i="2"/>
  <c r="G183" i="2"/>
  <c r="J14" i="5"/>
  <c r="G142" i="14"/>
  <c r="H142" i="14"/>
  <c r="J11" i="5"/>
  <c r="D180" i="2"/>
  <c r="J9" i="5"/>
  <c r="F22" i="5"/>
  <c r="F24" i="5"/>
  <c r="D183" i="2"/>
  <c r="F26" i="5"/>
  <c r="D18" i="2"/>
  <c r="D21" i="2"/>
  <c r="D23" i="2"/>
  <c r="D6" i="2"/>
  <c r="C21" i="2"/>
  <c r="C18" i="2"/>
  <c r="D7" i="2"/>
  <c r="D9" i="2"/>
  <c r="C23" i="2"/>
  <c r="C19" i="17"/>
  <c r="C21" i="17"/>
  <c r="C23" i="17"/>
  <c r="C7" i="17"/>
  <c r="C52" i="17"/>
  <c r="N19" i="17"/>
  <c r="N21" i="17"/>
  <c r="N23" i="17"/>
  <c r="C7" i="2"/>
  <c r="F21" i="2"/>
  <c r="C6" i="2"/>
  <c r="E18" i="2"/>
  <c r="E21" i="2"/>
  <c r="N52" i="17"/>
  <c r="D7" i="5"/>
  <c r="D10" i="5"/>
  <c r="N7" i="17"/>
  <c r="N9" i="17"/>
  <c r="C9" i="17"/>
  <c r="F18" i="2"/>
  <c r="F23" i="2"/>
  <c r="F6" i="2"/>
  <c r="E23" i="2"/>
  <c r="C9" i="2"/>
  <c r="N54" i="17"/>
  <c r="N56" i="17"/>
  <c r="N40" i="17"/>
  <c r="N55" i="17"/>
  <c r="D22" i="5"/>
  <c r="D24" i="5"/>
  <c r="D26" i="5"/>
  <c r="C42" i="17"/>
  <c r="E6" i="2"/>
  <c r="G21" i="2"/>
  <c r="G18" i="2"/>
  <c r="H21" i="2"/>
  <c r="F7" i="2"/>
  <c r="F9" i="2"/>
  <c r="N63" i="17"/>
  <c r="N41" i="17"/>
  <c r="N42" i="17"/>
  <c r="G23" i="2"/>
  <c r="H18" i="2"/>
  <c r="H23" i="2"/>
  <c r="H6" i="2"/>
  <c r="E7" i="2"/>
  <c r="I21" i="2"/>
  <c r="J21" i="2"/>
  <c r="I18" i="2"/>
  <c r="I23" i="2"/>
  <c r="I6" i="2"/>
  <c r="H7" i="2"/>
  <c r="H9" i="2"/>
  <c r="E9" i="2"/>
  <c r="G6" i="2"/>
  <c r="I28" i="2"/>
  <c r="J18" i="2"/>
  <c r="J23" i="2"/>
  <c r="J6" i="2"/>
  <c r="G7" i="2"/>
  <c r="K21" i="2"/>
  <c r="I7" i="2"/>
  <c r="I9" i="2"/>
  <c r="J28" i="2"/>
  <c r="K18" i="2"/>
  <c r="K23" i="2"/>
  <c r="K6" i="2"/>
  <c r="L21" i="2"/>
  <c r="G9" i="2"/>
  <c r="L18" i="2"/>
  <c r="L23" i="2"/>
  <c r="L6" i="2"/>
  <c r="M21" i="2"/>
  <c r="K28" i="2"/>
  <c r="J7" i="2"/>
  <c r="J9" i="2"/>
  <c r="K7" i="2"/>
  <c r="K9" i="2"/>
  <c r="M18" i="2"/>
  <c r="M23" i="2"/>
  <c r="M6" i="2"/>
  <c r="O17" i="1"/>
  <c r="C26" i="1"/>
  <c r="L28" i="2"/>
  <c r="C201" i="1"/>
  <c r="D207" i="1"/>
  <c r="C3" i="16"/>
  <c r="H26" i="1"/>
  <c r="H14" i="20"/>
  <c r="L7" i="2"/>
  <c r="L9" i="2"/>
  <c r="N21" i="2"/>
  <c r="O19" i="2"/>
  <c r="S19" i="2"/>
  <c r="C192" i="2"/>
  <c r="M28" i="2"/>
  <c r="N18" i="2"/>
  <c r="O16" i="2"/>
  <c r="S16" i="2"/>
  <c r="C190" i="2"/>
  <c r="H201" i="1"/>
  <c r="H3" i="16"/>
  <c r="C4" i="16"/>
  <c r="M7" i="2"/>
  <c r="M9" i="2"/>
  <c r="X19" i="2"/>
  <c r="S21" i="2"/>
  <c r="N23" i="2"/>
  <c r="O18" i="2"/>
  <c r="N28" i="2"/>
  <c r="O22" i="2"/>
  <c r="S22" i="2"/>
  <c r="C194" i="2"/>
  <c r="J5" i="5"/>
  <c r="X16" i="2"/>
  <c r="S18" i="2"/>
  <c r="C191" i="2"/>
  <c r="E17" i="5"/>
  <c r="H4" i="16"/>
  <c r="H24" i="16"/>
  <c r="X21" i="2"/>
  <c r="C193" i="2"/>
  <c r="S28" i="2"/>
  <c r="X22" i="2"/>
  <c r="O28" i="2"/>
  <c r="H194" i="2"/>
  <c r="N6" i="2"/>
  <c r="O23" i="2"/>
  <c r="S6" i="2"/>
  <c r="S23" i="2"/>
  <c r="X23" i="2"/>
  <c r="X18" i="2"/>
  <c r="E21" i="5"/>
  <c r="J21" i="5"/>
  <c r="J17" i="5"/>
  <c r="S30" i="2"/>
  <c r="C200" i="2"/>
  <c r="H200" i="2"/>
  <c r="X28" i="2"/>
  <c r="H190" i="2"/>
  <c r="H193" i="2"/>
  <c r="H192" i="2"/>
  <c r="N7" i="2"/>
  <c r="O7" i="2"/>
  <c r="X6" i="2"/>
  <c r="C180" i="2"/>
  <c r="O6" i="2"/>
  <c r="S9" i="2"/>
  <c r="X9" i="2"/>
  <c r="J7" i="5"/>
  <c r="N9" i="2"/>
  <c r="O9" i="2"/>
  <c r="C201" i="2"/>
  <c r="H201" i="2"/>
  <c r="X30" i="2"/>
  <c r="C195" i="2"/>
  <c r="H195" i="2"/>
  <c r="H191" i="2"/>
  <c r="H180" i="2"/>
  <c r="C183" i="2"/>
  <c r="H183" i="2"/>
  <c r="X7" i="2"/>
  <c r="H181" i="2"/>
  <c r="J8" i="5"/>
  <c r="E22" i="5"/>
  <c r="E24" i="5"/>
  <c r="J10" i="5"/>
  <c r="J15" i="5"/>
  <c r="J22" i="5"/>
  <c r="J24" i="5"/>
  <c r="E26" i="5"/>
  <c r="J27" i="5"/>
  <c r="J26" i="5"/>
  <c r="J2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Akhil Gupta</author>
  </authors>
  <commentList>
    <comment ref="C10" authorId="0" shapeId="0" xr:uid="{ABDFA224-D79C-4248-990C-DC7602CAC0EA}">
      <text>
        <r>
          <rPr>
            <b/>
            <sz val="9"/>
            <color indexed="81"/>
            <rFont val="Tahoma"/>
            <family val="2"/>
          </rPr>
          <t>Akhil Gupta:</t>
        </r>
        <r>
          <rPr>
            <sz val="9"/>
            <color indexed="81"/>
            <rFont val="Tahoma"/>
            <family val="2"/>
          </rPr>
          <t xml:space="preserve">
This is assuming that only 1 out of 2 cars will install EV Charge Point@Home</t>
        </r>
      </text>
    </comment>
    <comment ref="C24" authorId="0" shapeId="0" xr:uid="{2492A045-694D-4C4A-80E8-5773E88F2DCE}">
      <text>
        <r>
          <rPr>
            <b/>
            <sz val="9"/>
            <color indexed="81"/>
            <rFont val="Tahoma"/>
            <family val="2"/>
          </rPr>
          <t>Akhil Gupta:</t>
        </r>
        <r>
          <rPr>
            <sz val="9"/>
            <color indexed="81"/>
            <rFont val="Tahoma"/>
            <family val="2"/>
          </rPr>
          <t xml:space="preserve">
This is assuming that only 1 out of 2 cars will install EV Charge Point@Home</t>
        </r>
      </text>
    </comment>
    <comment ref="C35" authorId="0" shapeId="0" xr:uid="{5209DC22-2851-437F-97EF-7B3E4AE3AB4E}">
      <text>
        <r>
          <rPr>
            <b/>
            <sz val="9"/>
            <color indexed="81"/>
            <rFont val="Tahoma"/>
            <family val="2"/>
          </rPr>
          <t>Akhil Gupta:</t>
        </r>
        <r>
          <rPr>
            <sz val="9"/>
            <color indexed="81"/>
            <rFont val="Tahoma"/>
            <family val="2"/>
          </rPr>
          <t xml:space="preserve">
As this data is not available same values of UK have been taken in account.</t>
        </r>
      </text>
    </comment>
    <comment ref="C36" authorId="0" shapeId="0" xr:uid="{0B1E4E13-B84C-4BF1-AFF2-5E8A71D6C5F5}">
      <text>
        <r>
          <rPr>
            <b/>
            <sz val="9"/>
            <color indexed="81"/>
            <rFont val="Tahoma"/>
            <family val="2"/>
          </rPr>
          <t>Akhil Gupta:</t>
        </r>
        <r>
          <rPr>
            <sz val="9"/>
            <color indexed="81"/>
            <rFont val="Tahoma"/>
            <family val="2"/>
          </rPr>
          <t xml:space="preserve">
As this data is not available same values of UK have been taken in account.</t>
        </r>
      </text>
    </comment>
    <comment ref="C38" authorId="0" shapeId="0" xr:uid="{53F38D7A-F938-4E91-B6BF-25C7AB0AB443}">
      <text>
        <r>
          <rPr>
            <b/>
            <sz val="9"/>
            <color indexed="81"/>
            <rFont val="Tahoma"/>
            <family val="2"/>
          </rPr>
          <t>Akhil Gupta:</t>
        </r>
        <r>
          <rPr>
            <sz val="9"/>
            <color indexed="81"/>
            <rFont val="Tahoma"/>
            <family val="2"/>
          </rPr>
          <t xml:space="preserve">
This is assuming that only 1 out of 2 cars will install EV Charge Point@Home</t>
        </r>
      </text>
    </comment>
    <comment ref="C49" authorId="0" shapeId="0" xr:uid="{00EB82C2-69F6-4C32-AC3B-8A83E442C040}">
      <text>
        <r>
          <rPr>
            <b/>
            <sz val="9"/>
            <color indexed="81"/>
            <rFont val="Tahoma"/>
            <family val="2"/>
          </rPr>
          <t>Akhil Gupta:</t>
        </r>
        <r>
          <rPr>
            <sz val="9"/>
            <color indexed="81"/>
            <rFont val="Tahoma"/>
            <family val="2"/>
          </rPr>
          <t xml:space="preserve">
As this data is not available same values of UK have been taken in account.</t>
        </r>
      </text>
    </comment>
    <comment ref="C50" authorId="0" shapeId="0" xr:uid="{DC80BA51-74AA-4B33-8099-6C7C1384C46B}">
      <text>
        <r>
          <rPr>
            <b/>
            <sz val="9"/>
            <color indexed="81"/>
            <rFont val="Tahoma"/>
            <family val="2"/>
          </rPr>
          <t>Akhil Gupta:</t>
        </r>
        <r>
          <rPr>
            <sz val="9"/>
            <color indexed="81"/>
            <rFont val="Tahoma"/>
            <family val="2"/>
          </rPr>
          <t xml:space="preserve">
As this data is not available same values of UK have been taken in account.</t>
        </r>
      </text>
    </comment>
    <comment ref="C52" authorId="0" shapeId="0" xr:uid="{0C9D0169-D809-4290-80E7-10BB0C491EB0}">
      <text>
        <r>
          <rPr>
            <b/>
            <sz val="9"/>
            <color indexed="81"/>
            <rFont val="Tahoma"/>
            <family val="2"/>
          </rPr>
          <t>Akhil Gupta:</t>
        </r>
        <r>
          <rPr>
            <sz val="9"/>
            <color indexed="81"/>
            <rFont val="Tahoma"/>
            <family val="2"/>
          </rPr>
          <t xml:space="preserve">
This is assuming that only 1 out of 2 cars will install EV Charge Point@Home</t>
        </r>
      </text>
    </comment>
    <comment ref="C68" authorId="0" shapeId="0" xr:uid="{0BC1E30A-2553-450A-A7F9-8F5EFE2DC325}">
      <text>
        <r>
          <rPr>
            <b/>
            <sz val="9"/>
            <color indexed="81"/>
            <rFont val="Tahoma"/>
            <family val="2"/>
          </rPr>
          <t>Akhil Gupta:</t>
        </r>
        <r>
          <rPr>
            <sz val="9"/>
            <color indexed="81"/>
            <rFont val="Tahoma"/>
            <family val="2"/>
          </rPr>
          <t xml:space="preserve">
There is little difference in Premium Point Installation and Basic Point Installation and hence assumed the same </t>
        </r>
      </text>
    </comment>
    <comment ref="L68" authorId="0" shapeId="0" xr:uid="{1DC0BF89-C045-4999-983F-EC5DD4CCABEA}">
      <text>
        <r>
          <rPr>
            <b/>
            <sz val="9"/>
            <color indexed="81"/>
            <rFont val="Tahoma"/>
            <family val="2"/>
          </rPr>
          <t>Akhil Gupta:</t>
        </r>
        <r>
          <rPr>
            <sz val="9"/>
            <color indexed="81"/>
            <rFont val="Tahoma"/>
            <family val="2"/>
          </rPr>
          <t xml:space="preserve">
There is little difference in Premium Point Installation and Basic Point Installation and hence assumed the same </t>
        </r>
      </text>
    </comment>
    <comment ref="C81" authorId="0" shapeId="0" xr:uid="{249A63E3-927E-4EC2-9789-1DBC2FA5016C}">
      <text>
        <r>
          <rPr>
            <b/>
            <sz val="9"/>
            <color indexed="81"/>
            <rFont val="Tahoma"/>
            <family val="2"/>
          </rPr>
          <t>Akhil Gupta:</t>
        </r>
        <r>
          <rPr>
            <sz val="9"/>
            <color indexed="81"/>
            <rFont val="Tahoma"/>
            <family val="2"/>
          </rPr>
          <t xml:space="preserve">
There is little difference in Premium Point Installation and Basic Point Installation and hence assumed the same </t>
        </r>
      </text>
    </comment>
    <comment ref="L81" authorId="0" shapeId="0" xr:uid="{CA17EF80-6B09-48EB-94AE-BAE090A341A8}">
      <text>
        <r>
          <rPr>
            <b/>
            <sz val="9"/>
            <color indexed="81"/>
            <rFont val="Tahoma"/>
            <family val="2"/>
          </rPr>
          <t>Akhil Gupta:</t>
        </r>
        <r>
          <rPr>
            <sz val="9"/>
            <color indexed="81"/>
            <rFont val="Tahoma"/>
            <family val="2"/>
          </rPr>
          <t xml:space="preserve">
There is little difference in Premium Point Installation and Basic Point Installation and hence assumed the same </t>
        </r>
      </text>
    </comment>
    <comment ref="C94" authorId="0" shapeId="0" xr:uid="{A63F9B04-8532-44F5-A60F-235F01329266}">
      <text>
        <r>
          <rPr>
            <b/>
            <sz val="9"/>
            <color indexed="81"/>
            <rFont val="Tahoma"/>
            <family val="2"/>
          </rPr>
          <t>Akhil Gupta:</t>
        </r>
        <r>
          <rPr>
            <sz val="9"/>
            <color indexed="81"/>
            <rFont val="Tahoma"/>
            <family val="2"/>
          </rPr>
          <t xml:space="preserve">
There is little difference in Premium Point Installation and Basic Point Installation and hence assumed the same </t>
        </r>
      </text>
    </comment>
    <comment ref="L94" authorId="0" shapeId="0" xr:uid="{5573EA34-AC0F-43BC-A4D2-0CD08BF1D312}">
      <text>
        <r>
          <rPr>
            <b/>
            <sz val="9"/>
            <color indexed="81"/>
            <rFont val="Tahoma"/>
            <family val="2"/>
          </rPr>
          <t>Akhil Gupta:</t>
        </r>
        <r>
          <rPr>
            <sz val="9"/>
            <color indexed="81"/>
            <rFont val="Tahoma"/>
            <family val="2"/>
          </rPr>
          <t xml:space="preserve">
There is little difference in Premium Point Installation and Basic Point Installation and hence assumed the same </t>
        </r>
      </text>
    </comment>
    <comment ref="C107" authorId="0" shapeId="0" xr:uid="{A2F1B795-6738-4B22-BC73-268BA19204E7}">
      <text>
        <r>
          <rPr>
            <b/>
            <sz val="9"/>
            <color indexed="81"/>
            <rFont val="Tahoma"/>
            <family val="2"/>
          </rPr>
          <t>Akhil Gupta:</t>
        </r>
        <r>
          <rPr>
            <sz val="9"/>
            <color indexed="81"/>
            <rFont val="Tahoma"/>
            <family val="2"/>
          </rPr>
          <t xml:space="preserve">
There is little difference in Premium Point Installation and Basic Point Installation and hence assumed the same </t>
        </r>
      </text>
    </comment>
    <comment ref="L107" authorId="0" shapeId="0" xr:uid="{36EACC37-13EC-4FEF-88FA-6A89B63A1E36}">
      <text>
        <r>
          <rPr>
            <b/>
            <sz val="9"/>
            <color indexed="81"/>
            <rFont val="Tahoma"/>
            <family val="2"/>
          </rPr>
          <t>Akhil Gupta:</t>
        </r>
        <r>
          <rPr>
            <sz val="9"/>
            <color indexed="81"/>
            <rFont val="Tahoma"/>
            <family val="2"/>
          </rPr>
          <t xml:space="preserve">
There is little difference in Premium Point Installation and Basic Point Installation and hence assumed the same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enrique alia altares</author>
    <author>Akhil Gupta</author>
  </authors>
  <commentList>
    <comment ref="B4" authorId="0" shapeId="0" xr:uid="{9F79A3D5-9974-4307-B197-C8F946B3F87B}">
      <text>
        <r>
          <rPr>
            <b/>
            <sz val="9"/>
            <color indexed="81"/>
            <rFont val="Tahoma"/>
            <family val="2"/>
          </rPr>
          <t>source: movilidadelectrica.com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1" shapeId="0" xr:uid="{A9797E3C-387E-4CCA-89CD-D52330EDB33B}">
      <text>
        <r>
          <rPr>
            <b/>
            <sz val="9"/>
            <color indexed="81"/>
            <rFont val="Tahoma"/>
            <family val="2"/>
          </rPr>
          <t>Akhil Gupta:</t>
        </r>
        <r>
          <rPr>
            <sz val="9"/>
            <color indexed="81"/>
            <rFont val="Tahoma"/>
            <family val="2"/>
          </rPr>
          <t xml:space="preserve">
Chargick Launch Date</t>
        </r>
      </text>
    </comment>
    <comment ref="B9" authorId="0" shapeId="0" xr:uid="{08D52F9B-59C1-47BC-97DF-0562E822D47E}">
      <text>
        <r>
          <rPr>
            <b/>
            <sz val="9"/>
            <color indexed="81"/>
            <rFont val="Tahoma"/>
            <family val="2"/>
          </rPr>
          <t>source: movilidadelectrica.com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 xr:uid="{85E3E763-54B0-4127-AE49-749BC94FA651}">
      <text>
        <r>
          <rPr>
            <b/>
            <sz val="9"/>
            <color indexed="81"/>
            <rFont val="Tahoma"/>
            <family val="2"/>
          </rPr>
          <t>source: movilidadelectrica.com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 shapeId="0" xr:uid="{ED9887F1-ABE4-4273-86E5-99E2555A6AD8}">
      <text>
        <r>
          <rPr>
            <b/>
            <sz val="9"/>
            <color indexed="81"/>
            <rFont val="Tahoma"/>
            <family val="2"/>
          </rPr>
          <t>source: movilidadelectrica.com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9" authorId="0" shapeId="0" xr:uid="{2BBCAE6E-AD7A-47C1-B381-B99CB25C47DC}">
      <text>
        <r>
          <rPr>
            <b/>
            <sz val="9"/>
            <color indexed="81"/>
            <rFont val="Tahoma"/>
            <family val="2"/>
          </rPr>
          <t>source: movilidadelectrica.com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0" shapeId="0" xr:uid="{EB2C03D4-7634-44B5-8D90-B03936F9A94B}">
      <text>
        <r>
          <rPr>
            <b/>
            <sz val="9"/>
            <color indexed="81"/>
            <rFont val="Tahoma"/>
            <family val="2"/>
          </rPr>
          <t>source: movilidadelectrica.com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0" authorId="0" shapeId="0" xr:uid="{485F115C-BDA7-4748-91E6-D4548F4AC9D2}">
      <text>
        <r>
          <rPr>
            <b/>
            <sz val="9"/>
            <color indexed="81"/>
            <rFont val="Tahoma"/>
            <family val="2"/>
          </rPr>
          <t>source: movilidadelectrica.com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3" authorId="0" shapeId="0" xr:uid="{71AF6B29-424C-4DEA-86E3-B53DEDF459D3}">
      <text>
        <r>
          <rPr>
            <b/>
            <sz val="9"/>
            <color indexed="81"/>
            <rFont val="Tahoma"/>
            <family val="2"/>
          </rPr>
          <t>source: movilidadelectrica.com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8" authorId="0" shapeId="0" xr:uid="{6ADD5D43-2FD3-4906-89BD-4FC6AA45B427}">
      <text>
        <r>
          <rPr>
            <b/>
            <sz val="9"/>
            <color indexed="81"/>
            <rFont val="Tahoma"/>
            <family val="2"/>
          </rPr>
          <t>source: movilidadelectrica.com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8" authorId="0" shapeId="0" xr:uid="{143C9677-048D-483D-B051-CD8DD0FD7933}">
      <text>
        <r>
          <rPr>
            <b/>
            <sz val="9"/>
            <color indexed="81"/>
            <rFont val="Tahoma"/>
            <family val="2"/>
          </rPr>
          <t>source: movilidadelectrica.com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0" authorId="0" shapeId="0" xr:uid="{2CB4A207-59AA-4BB2-BB32-58E3EF94BB3F}">
      <text>
        <r>
          <rPr>
            <b/>
            <sz val="9"/>
            <color indexed="81"/>
            <rFont val="Tahoma"/>
            <family val="2"/>
          </rPr>
          <t>source: movilidadelectrica.com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2" authorId="0" shapeId="0" xr:uid="{1DB068A0-66F6-4654-8F67-F6196366C1F5}">
      <text>
        <r>
          <rPr>
            <b/>
            <sz val="9"/>
            <color indexed="81"/>
            <rFont val="Tahoma"/>
            <family val="2"/>
          </rPr>
          <t>source: movilidadelectrica.com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7" authorId="0" shapeId="0" xr:uid="{DFE82643-72A5-4287-A370-13A661220C19}">
      <text>
        <r>
          <rPr>
            <b/>
            <sz val="9"/>
            <color indexed="81"/>
            <rFont val="Tahoma"/>
            <family val="2"/>
          </rPr>
          <t>source: movilidadelectrica.com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7" authorId="0" shapeId="0" xr:uid="{08D14DD4-6B7A-44C3-A426-2E2514905384}">
      <text>
        <r>
          <rPr>
            <b/>
            <sz val="9"/>
            <color indexed="81"/>
            <rFont val="Tahoma"/>
            <family val="2"/>
          </rPr>
          <t>source: movilidadelectrica.com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0" authorId="0" shapeId="0" xr:uid="{CD860F86-D3F0-4194-A311-6410F23C5643}">
      <text>
        <r>
          <rPr>
            <b/>
            <sz val="9"/>
            <color indexed="81"/>
            <rFont val="Tahoma"/>
            <family val="2"/>
          </rPr>
          <t>source: movilidadelectrica.com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6" authorId="0" shapeId="0" xr:uid="{40F6CF73-8212-4B77-9B0E-4805F7C1B478}">
      <text>
        <r>
          <rPr>
            <b/>
            <sz val="9"/>
            <color indexed="81"/>
            <rFont val="Tahoma"/>
            <family val="2"/>
          </rPr>
          <t>source: movilidadelectrica.com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Akhil Gupta</author>
  </authors>
  <commentList>
    <comment ref="E28" authorId="0" shapeId="0" xr:uid="{7C43D8FC-3114-43CF-B181-26B8A8CC8963}">
      <text>
        <r>
          <rPr>
            <b/>
            <sz val="9"/>
            <color indexed="81"/>
            <rFont val="Tahoma"/>
            <family val="2"/>
          </rPr>
          <t>Akhil Gupta:</t>
        </r>
        <r>
          <rPr>
            <sz val="9"/>
            <color indexed="81"/>
            <rFont val="Tahoma"/>
            <family val="2"/>
          </rPr>
          <t xml:space="preserve">
These are approximations based on growth of the company</t>
        </r>
      </text>
    </comment>
    <comment ref="E51" authorId="0" shapeId="0" xr:uid="{5550E3F2-CCAD-4EDC-AB59-114BDD7E6EC3}">
      <text>
        <r>
          <rPr>
            <b/>
            <sz val="9"/>
            <color indexed="81"/>
            <rFont val="Tahoma"/>
            <family val="2"/>
          </rPr>
          <t>Akhil Gupta:</t>
        </r>
        <r>
          <rPr>
            <sz val="9"/>
            <color indexed="81"/>
            <rFont val="Tahoma"/>
            <family val="2"/>
          </rPr>
          <t xml:space="preserve">
This is team size multiplied by the average Salary</t>
        </r>
      </text>
    </comment>
  </commentList>
</comments>
</file>

<file path=xl/sharedStrings.xml><?xml version="1.0" encoding="utf-8"?>
<sst xmlns="http://schemas.openxmlformats.org/spreadsheetml/2006/main" count="1655" uniqueCount="275">
  <si>
    <t>ELECTRIC VEHICLES SOLD 2018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</si>
  <si>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</si>
  <si>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</si>
  <si>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</si>
  <si>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</si>
  <si>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</si>
  <si>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</si>
  <si>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</si>
  <si>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</si>
  <si>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</si>
  <si>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</si>
  <si>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</si>
  <si>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</si>
  <si>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2018</t>
  </si>
  <si>
    <t xml:space="preserve"> EV </t>
  </si>
  <si>
    <t>PHEV</t>
  </si>
  <si>
    <t>TOTAL</t>
  </si>
  <si>
    <t>ESTIMATED ELECTRIC VEHICLES SOLD 2019</t>
  </si>
  <si>
    <t>ESTIMATED ELECTRIC VEHICLES SOLD</t>
  </si>
  <si>
    <t xml:space="preserve">TOTAL </t>
  </si>
  <si>
    <t>CHARGIC TOTAL INSTALED</t>
  </si>
  <si>
    <t>Target Area UK</t>
  </si>
  <si>
    <t>TOTAL 2019</t>
  </si>
  <si>
    <t>Target Area FRANCE</t>
  </si>
  <si>
    <t>Target Area GERMANY</t>
  </si>
  <si>
    <t>TOTAL EXPANSION</t>
  </si>
  <si>
    <t>Chargers</t>
  </si>
  <si>
    <t>Installations</t>
  </si>
  <si>
    <t>TOTAL INCOME</t>
  </si>
  <si>
    <t>CHARGERS SALES</t>
  </si>
  <si>
    <t>INSTALLATIONS SALES</t>
  </si>
  <si>
    <t>Price per Unit</t>
  </si>
  <si>
    <t>CHARGICK TOTAL INSTALED</t>
  </si>
  <si>
    <t>Average Price</t>
  </si>
  <si>
    <t>INCOME</t>
  </si>
  <si>
    <t>ESTIMATED ELECTRIC VEHICLES SOLD 2020</t>
  </si>
  <si>
    <t>Cost per Unit</t>
  </si>
  <si>
    <t>Average Cost</t>
  </si>
  <si>
    <t>Total Incomes</t>
  </si>
  <si>
    <t>EBITDA</t>
  </si>
  <si>
    <t>Amortización</t>
  </si>
  <si>
    <t>EBIT</t>
  </si>
  <si>
    <t>Intereses</t>
  </si>
  <si>
    <t>BAI</t>
  </si>
  <si>
    <t>Impuestos</t>
  </si>
  <si>
    <t>BDI</t>
  </si>
  <si>
    <t>TOTAL RESULT</t>
  </si>
  <si>
    <t>ESTIMATED ELECTRIC VEHICLES SOLD PER YEAR</t>
  </si>
  <si>
    <t>Target Area SPAIN</t>
  </si>
  <si>
    <t>CHARGICK TOTAL INSTALLED</t>
  </si>
  <si>
    <t>CHARGER SALES</t>
  </si>
  <si>
    <t>INSTALLATION SALES</t>
  </si>
  <si>
    <t>SPAIN</t>
  </si>
  <si>
    <t>UK</t>
  </si>
  <si>
    <t>FRANCE</t>
  </si>
  <si>
    <t>GERMANY</t>
  </si>
  <si>
    <t>Hitos</t>
  </si>
  <si>
    <t>Funcionalidad: asesoramiento, configurador, presupuesto online, herramienta presupuesto, agenda, valoración cliente.</t>
  </si>
  <si>
    <t>Lanzamiento CHARGICK particular</t>
  </si>
  <si>
    <t>ESPAÑA</t>
  </si>
  <si>
    <t>Lanzamiento CHARGICK empresas</t>
  </si>
  <si>
    <t>Funcionalidad Chargick particular + renting, asesoramiento ingeniero.</t>
  </si>
  <si>
    <t>GER Y FR</t>
  </si>
  <si>
    <t xml:space="preserve"> CHARGICK empresas</t>
  </si>
  <si>
    <t xml:space="preserve"> CHARGICK particular</t>
  </si>
  <si>
    <t xml:space="preserve">Lanzamiento CHARGICK particular </t>
  </si>
  <si>
    <t>Equipo: 6</t>
  </si>
  <si>
    <t>Equipo: 7</t>
  </si>
  <si>
    <t>Equipo: 12</t>
  </si>
  <si>
    <t>Equipo: 13</t>
  </si>
  <si>
    <t>Equipo: 21</t>
  </si>
  <si>
    <t>Equipo: 23</t>
  </si>
  <si>
    <t>Costes</t>
  </si>
  <si>
    <t>Marketing</t>
  </si>
  <si>
    <t>equipo</t>
  </si>
  <si>
    <t>ROLES</t>
  </si>
  <si>
    <t>CEO</t>
  </si>
  <si>
    <t>CSO</t>
  </si>
  <si>
    <t>Director servicios</t>
  </si>
  <si>
    <t>CTO</t>
  </si>
  <si>
    <t>Director marketing</t>
  </si>
  <si>
    <t>Administración</t>
  </si>
  <si>
    <t>Comercial UK</t>
  </si>
  <si>
    <t>Comercial FR</t>
  </si>
  <si>
    <t>Comercial ESP</t>
  </si>
  <si>
    <t>Comercial GER</t>
  </si>
  <si>
    <t>Ingeniero UK</t>
  </si>
  <si>
    <t>Ingeniero GER</t>
  </si>
  <si>
    <t>Ingeniero FR</t>
  </si>
  <si>
    <t>Ingeniero ESP</t>
  </si>
  <si>
    <t>Programador manager</t>
  </si>
  <si>
    <t>Junior des</t>
  </si>
  <si>
    <t>Diseño Marketing</t>
  </si>
  <si>
    <t>SUELDOS Anuales</t>
  </si>
  <si>
    <t>Finanzas y RR.HH</t>
  </si>
  <si>
    <t>Senior desarrollador</t>
  </si>
  <si>
    <t>Seguros Sociales</t>
  </si>
  <si>
    <t xml:space="preserve">Date: </t>
  </si>
  <si>
    <t>17/03/2019</t>
  </si>
  <si>
    <t>Comments:</t>
  </si>
  <si>
    <t>v3: Added Assumptions tab</t>
  </si>
  <si>
    <t>Forecast Sold Cars</t>
  </si>
  <si>
    <t>YEAR</t>
  </si>
  <si>
    <t>%YoY PEV Sales Growth</t>
  </si>
  <si>
    <t>PLUGGABLE ELECTRIC VEHICLES SOLD 2018</t>
  </si>
  <si>
    <t xml:space="preserve"> BEV </t>
  </si>
  <si>
    <t>%age of CP Installations @ Total PEV Sales</t>
  </si>
  <si>
    <t>Chargick Forecasted Market Share</t>
  </si>
  <si>
    <t xml:space="preserve">% BEV Sales </t>
  </si>
  <si>
    <t>%  PHEV Sales</t>
  </si>
  <si>
    <t>% BEV Sales</t>
  </si>
  <si>
    <t xml:space="preserve"> BEV Sales</t>
  </si>
  <si>
    <t>PHEV Sales</t>
  </si>
  <si>
    <t>TOTAL CP INSTALLATION MARKET</t>
  </si>
  <si>
    <t>PLUGGABLE ELECTRIC VEHICLES SOLD</t>
  </si>
  <si>
    <t>TOTAL 2020</t>
  </si>
  <si>
    <t xml:space="preserve"> BEV</t>
  </si>
  <si>
    <t>Germany</t>
  </si>
  <si>
    <t>BEV</t>
  </si>
  <si>
    <t>France</t>
  </si>
  <si>
    <t xml:space="preserve">BEV </t>
  </si>
  <si>
    <t>%YoY Chargick Growth</t>
  </si>
  <si>
    <t>Pricing</t>
  </si>
  <si>
    <t>Premium Charging Point</t>
  </si>
  <si>
    <t>Basic Charging Point</t>
  </si>
  <si>
    <t>%age reduction in price YoY</t>
  </si>
  <si>
    <t>Premium Charging Point (Euros)</t>
  </si>
  <si>
    <t>Basic Charging Point (Euros)</t>
  </si>
  <si>
    <t>Installation Price (Euros)</t>
  </si>
  <si>
    <t xml:space="preserve">%age reduction in Installation price YoY </t>
  </si>
  <si>
    <t>%age of Premium Charging Point Vs Total</t>
  </si>
  <si>
    <t>%age of Basic Charging Point Vs Total</t>
  </si>
  <si>
    <t>INCOME YEAR 2019</t>
  </si>
  <si>
    <t>CHARGER SALES 2019</t>
  </si>
  <si>
    <t>INSTALLATION SALES 2019</t>
  </si>
  <si>
    <t>Total Revenue Premium</t>
  </si>
  <si>
    <t>Total Revenue Basic</t>
  </si>
  <si>
    <t>INCOME YEAR 2020</t>
  </si>
  <si>
    <t>INSTALLATION SALES 2020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</si>
  <si>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</si>
  <si>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</si>
  <si>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</si>
  <si>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</si>
  <si>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</si>
  <si>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</si>
  <si>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</si>
  <si>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</si>
  <si>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</si>
  <si>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</si>
  <si>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</si>
  <si>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</si>
  <si>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CHARGER SALES 2020</t>
  </si>
  <si>
    <t>TOTAL CHARGICK UNITS</t>
  </si>
  <si>
    <t>CHARGER SALES YEAR 2020</t>
  </si>
  <si>
    <t>INSTALLATION SALES YEAR 2020</t>
  </si>
  <si>
    <t>Cost</t>
  </si>
  <si>
    <t>%age reduction in Cost YoY</t>
  </si>
  <si>
    <t>Installation Cost (Euros)</t>
  </si>
  <si>
    <t xml:space="preserve">%age reduction in Installation Cost YoY </t>
  </si>
  <si>
    <t>TOTAL COST OF SALES</t>
  </si>
  <si>
    <t>COST OF SALES YEAR 2019</t>
  </si>
  <si>
    <t>Total Cost Premium</t>
  </si>
  <si>
    <t>Total Cost Basic</t>
  </si>
  <si>
    <t>INSTALLATION COST OF SALES 2019</t>
  </si>
  <si>
    <t>COST OF SALES</t>
  </si>
  <si>
    <t>CHARGERS COST OF SALES</t>
  </si>
  <si>
    <t>INSTALLATIONS COST OF SALES</t>
  </si>
  <si>
    <t>COST OF SALES YEAR 2020</t>
  </si>
  <si>
    <t>INSTALLATION COST OF SALES 2020</t>
  </si>
  <si>
    <t>CHARGER COST OF SALES 2019</t>
  </si>
  <si>
    <t>CHARGER COST OF SALES 2020</t>
  </si>
  <si>
    <t>CHARGER COST OF SALES</t>
  </si>
  <si>
    <t>Total Cost of Sales Premium</t>
  </si>
  <si>
    <t>Total Cost of Sales Basic</t>
  </si>
  <si>
    <t>INSTALLATION COST OF SALES</t>
  </si>
  <si>
    <t>Team Size</t>
  </si>
  <si>
    <t>X</t>
  </si>
  <si>
    <t>Engineer Back Office Spain</t>
  </si>
  <si>
    <t>Senior Developer</t>
  </si>
  <si>
    <t>Design Marketing</t>
  </si>
  <si>
    <t>Department</t>
  </si>
  <si>
    <t>UK Sales Manager</t>
  </si>
  <si>
    <t>Spain Sales Manager</t>
  </si>
  <si>
    <t>Engineer Back Office UK</t>
  </si>
  <si>
    <t>Germany Sales Manager</t>
  </si>
  <si>
    <t>France Sales Manager</t>
  </si>
  <si>
    <t>Program Manager</t>
  </si>
  <si>
    <t>Junior Developer</t>
  </si>
  <si>
    <t>Engineer Back Office Germany</t>
  </si>
  <si>
    <t>Engineer Back Office France</t>
  </si>
  <si>
    <t>Junior Developer - 3</t>
  </si>
  <si>
    <t>Junior Developer - 2</t>
  </si>
  <si>
    <t>Total CTC</t>
  </si>
  <si>
    <t>Inflation</t>
  </si>
  <si>
    <t>Average Salary</t>
  </si>
  <si>
    <t>TOTAL COST OF MARKETING</t>
  </si>
  <si>
    <t xml:space="preserve">Cost per Click </t>
  </si>
  <si>
    <t>Spain</t>
  </si>
  <si>
    <t>Impressions to Click</t>
  </si>
  <si>
    <t>Click to Conversion</t>
  </si>
  <si>
    <t>Revenue from Services</t>
  </si>
  <si>
    <t>Revenue from Goods</t>
  </si>
  <si>
    <t>Cost of Good Sold</t>
  </si>
  <si>
    <t>Cost of Services Sold</t>
  </si>
  <si>
    <t>General &amp; Administrative</t>
  </si>
  <si>
    <t>Gross Profit</t>
  </si>
  <si>
    <t>Total Cost of Sales</t>
  </si>
  <si>
    <t>Expenses</t>
  </si>
  <si>
    <t>Others</t>
  </si>
  <si>
    <t>Total Expenses</t>
  </si>
  <si>
    <t>Februeary</t>
  </si>
  <si>
    <t>INCOME YEAR 2018-2019</t>
  </si>
  <si>
    <t>CHARGER SALES 2018-2019</t>
  </si>
  <si>
    <t>TOTAL CARGATUCOCHE UNITS</t>
  </si>
  <si>
    <t>INSTALLATION SALES 2018-2019</t>
  </si>
  <si>
    <t>COST OF SALES YEAR 2018-2019</t>
  </si>
  <si>
    <t>CHARGER COST OF SALES 2018-2019</t>
  </si>
  <si>
    <t>INSTALLATION COST OF SALES 2018-2019</t>
  </si>
  <si>
    <t>MARKETING</t>
  </si>
  <si>
    <t>SALARIES</t>
  </si>
  <si>
    <t>TOTAL COST OF SALARIES</t>
  </si>
  <si>
    <t>ADMINISTRATIVE</t>
  </si>
  <si>
    <t>SOFTWARE</t>
  </si>
  <si>
    <t>ADMINISTRATIVE AND SOFTWARE</t>
  </si>
  <si>
    <t xml:space="preserve">TOTAL COST </t>
  </si>
  <si>
    <t>Chargick Instal Forecasted Market Share</t>
  </si>
  <si>
    <t>Ecosystem Users</t>
  </si>
  <si>
    <t>Chargick total instaled</t>
  </si>
  <si>
    <t xml:space="preserve">ECOSYSTEM </t>
  </si>
  <si>
    <t xml:space="preserve">Nº RECURRING SERVICES </t>
  </si>
  <si>
    <t>ECOSYSTEM</t>
  </si>
  <si>
    <t>Nº RECURRING SERVICES</t>
  </si>
  <si>
    <t>%age of Churn Rate @ Ecosystem Users</t>
  </si>
  <si>
    <t>Total PEV Sales</t>
  </si>
  <si>
    <t>ACUMULATED ECOSYSTEM USERS</t>
  </si>
  <si>
    <t>NEW ECOSYSTEM USERS</t>
  </si>
  <si>
    <t>New Ecosystem Users</t>
  </si>
  <si>
    <t>TOTAL 2021</t>
  </si>
  <si>
    <t>%age of Ecosystem Users @ PEV Sales</t>
  </si>
  <si>
    <t>ECOSYSTEM SALES 2019</t>
  </si>
  <si>
    <t xml:space="preserve">Average price </t>
  </si>
  <si>
    <t>Ecosystem</t>
  </si>
  <si>
    <t xml:space="preserve">ECOSYSTEM SALES </t>
  </si>
  <si>
    <t>Revenue from Ecosystem</t>
  </si>
  <si>
    <t>Chargick Installations</t>
  </si>
  <si>
    <t>Chargick Comission revenue (5%)</t>
  </si>
  <si>
    <t>Average revenue per transaction</t>
  </si>
  <si>
    <t>Average revenue per user</t>
  </si>
  <si>
    <t>Monthly recurring transactions per user</t>
  </si>
  <si>
    <t>Acumulated ecosystem users</t>
  </si>
  <si>
    <t>Recurring services</t>
  </si>
  <si>
    <t>Acumulated ecosustem users</t>
  </si>
  <si>
    <t>ECOSYSTEM SALES 2020</t>
  </si>
  <si>
    <t>ECOSYSTEM SALES 2021</t>
  </si>
  <si>
    <t xml:space="preserve">Recurring Services </t>
  </si>
  <si>
    <t>Cost of Ecosystem Services</t>
  </si>
  <si>
    <r>
      <t xml:space="preserve">This is the Financial Plan for Chargick where the financials for the company has been calculated for next 5 years.  This Financial Plan has to be read together with the Business Plan for Chargick. </t>
    </r>
    <r>
      <rPr>
        <b/>
        <sz val="11"/>
        <color theme="1"/>
        <rFont val="Calibri"/>
        <family val="2"/>
        <scheme val="minor"/>
      </rPr>
      <t xml:space="preserve">
Assumptions:
Possible Market Launch in next 2 years:   </t>
    </r>
    <r>
      <rPr>
        <sz val="11"/>
        <color theme="1"/>
        <rFont val="Calibri"/>
        <family val="2"/>
        <scheme val="minor"/>
      </rPr>
      <t xml:space="preserve">Starting with Spain, than UK and than France and Germany 
</t>
    </r>
    <r>
      <rPr>
        <b/>
        <sz val="11"/>
        <color theme="1"/>
        <rFont val="Calibri"/>
        <family val="2"/>
        <scheme val="minor"/>
      </rPr>
      <t xml:space="preserve">Cargatucoche: </t>
    </r>
    <r>
      <rPr>
        <sz val="11"/>
        <color theme="1"/>
        <rFont val="Calibri"/>
        <family val="2"/>
        <scheme val="minor"/>
      </rPr>
      <t xml:space="preserve">Financial results and future of Chargick´s origin launched on November 2018 for validated and tested the market
This plan is divided in to the following data:-
a) </t>
    </r>
    <r>
      <rPr>
        <b/>
        <sz val="11"/>
        <color theme="1"/>
        <rFont val="Calibri"/>
        <family val="2"/>
        <scheme val="minor"/>
      </rPr>
      <t>Forecast Sold Cars:</t>
    </r>
    <r>
      <rPr>
        <sz val="11"/>
        <color theme="1"/>
        <rFont val="Calibri"/>
        <family val="2"/>
        <scheme val="minor"/>
      </rPr>
      <t xml:space="preserve"> Forecast of Sold EV across the potential markets of Chargick. </t>
    </r>
    <r>
      <rPr>
        <sz val="11"/>
        <color rgb="FFFF0000"/>
        <rFont val="Calibri"/>
        <family val="2"/>
        <scheme val="minor"/>
      </rPr>
      <t>Source: movilidadelectrica.com
Forecast of 2019-2023 is based on Market Growth Assumptions</t>
    </r>
    <r>
      <rPr>
        <sz val="11"/>
        <color theme="1"/>
        <rFont val="Calibri"/>
        <family val="2"/>
        <scheme val="minor"/>
      </rPr>
      <t xml:space="preserve">
b) Revenue forecast in each market as per launch timeframe.
c) Cost of Sales
</t>
    </r>
  </si>
  <si>
    <t>Total Market Share</t>
  </si>
  <si>
    <t>Total Installations</t>
  </si>
  <si>
    <t>Total Revenue</t>
  </si>
  <si>
    <t>Community</t>
  </si>
  <si>
    <t>Country</t>
  </si>
  <si>
    <t>Name</t>
  </si>
  <si>
    <t>Phase 1</t>
  </si>
  <si>
    <t>Phase 2</t>
  </si>
  <si>
    <t>Platform + website</t>
  </si>
  <si>
    <t>Installers Platform</t>
  </si>
  <si>
    <t xml:space="preserve">Phase 3 </t>
  </si>
  <si>
    <t>Community Platform</t>
  </si>
  <si>
    <t>Total</t>
  </si>
  <si>
    <t>Software</t>
  </si>
  <si>
    <t>Tools</t>
  </si>
  <si>
    <t>CRM</t>
  </si>
  <si>
    <t>Included above</t>
  </si>
  <si>
    <t>Servidor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</si>
</sst>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_€"/>
    <numFmt numFmtId="166" formatCode="_-* #,##0\ _€_-;\-* #,##0\ _€_-;_-* &quot;-&quot;??\ _€_-;_-@_-"/>
    <numFmt numFmtId="167" formatCode="[$€-2]\ #,##0"/>
    <numFmt numFmtId="168" formatCode="[$€-2]\ #,##0_);\([$€-2]\ #,##0\)"/>
    <numFmt numFmtId="169" formatCode="[$€-2]\ #,##0.00"/>
    <numFmt numFmtId="170" formatCode="0.0%"/>
    <numFmt numFmtId="171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DF1F9"/>
        <bgColor indexed="64"/>
      </patternFill>
    </fill>
    <fill>
      <patternFill patternType="gray0625">
        <fgColor theme="8" tint="0.39994506668294322"/>
        <bgColor rgb="FFEDF1F9"/>
      </patternFill>
    </fill>
    <fill>
      <patternFill patternType="solid">
        <fgColor rgb="FFFEFCE8"/>
        <bgColor indexed="64"/>
      </patternFill>
    </fill>
    <fill>
      <patternFill patternType="solid">
        <fgColor rgb="FFFDF3CF"/>
        <bgColor indexed="64"/>
      </patternFill>
    </fill>
    <fill>
      <patternFill patternType="gray0625">
        <fgColor theme="7"/>
        <bgColor rgb="FFFDF3CF"/>
      </patternFill>
    </fill>
    <fill>
      <patternFill patternType="solid">
        <fgColor rgb="FFEFFEE2"/>
        <bgColor indexed="64"/>
      </patternFill>
    </fill>
    <fill>
      <patternFill patternType="gray0625">
        <fgColor theme="9" tint="0.39994506668294322"/>
        <bgColor rgb="FFEFFEE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thin">
        <color theme="5" tint="0.79998168889431442"/>
      </bottom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/>
      <bottom style="thin">
        <color theme="5" tint="0.39994506668294322"/>
      </bottom>
      <diagonal/>
    </border>
    <border>
      <left style="medium">
        <color rgb="FFFC8174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7" tint="0.59996337778862885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/>
      <bottom style="thin">
        <color theme="9" tint="0.59996337778862885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7" tint="0.79998168889431442"/>
      </bottom>
      <diagonal/>
    </border>
    <border>
      <left/>
      <right/>
      <top style="medium">
        <color rgb="FF00B0F0"/>
      </top>
      <bottom/>
      <diagonal/>
    </border>
    <border>
      <left/>
      <right/>
      <top/>
      <bottom style="thin">
        <color theme="5" tint="0.59996337778862885"/>
      </bottom>
      <diagonal/>
    </border>
    <border>
      <left style="thin">
        <color theme="0" tint="-4.9989318521683403E-2"/>
      </left>
      <right/>
      <top/>
      <bottom/>
      <diagonal/>
    </border>
    <border>
      <left/>
      <right/>
      <top/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 style="thin">
        <color indexed="64"/>
      </left>
      <right style="thin">
        <color indexed="64"/>
      </right>
      <top style="medium">
        <color rgb="FF00B0F0"/>
      </top>
      <bottom style="thin">
        <color indexed="64"/>
      </bottom>
      <diagonal/>
    </border>
    <border>
      <left style="medium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B0F0"/>
      </right>
      <top style="thin">
        <color indexed="64"/>
      </top>
      <bottom style="thin">
        <color indexed="64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 style="thin">
        <color indexed="64"/>
      </right>
      <top style="thin">
        <color indexed="64"/>
      </top>
      <bottom style="medium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B0F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rgb="FF00B0F0"/>
      </bottom>
      <diagonal/>
    </border>
  </borders>
  <cellStyleXfs count="1">
    <xf numFmtId="0" fontId="0" fillId="0" borderId="0"/>
  </cellStyleXfs>
  <cellXfs count="431">
    <xf numFmtId="0" fontId="0" fillId="0" borderId="0" xfId="0"/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0" borderId="0" xfId="0" applyFont="1"/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/>
    <xf numFmtId="0" fontId="1" fillId="0" borderId="0" xfId="0" applyFont="1"/>
    <xf numFmtId="0" fontId="2" fillId="0" borderId="0" xfId="0" applyFont="1" applyAlignment="1">
      <alignment horizontal="right"/>
    </xf>
    <xf numFmtId="4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5" fontId="2" fillId="3" borderId="0" xfId="0" applyNumberFormat="1" applyFont="1" applyFill="1" applyAlignment="1">
      <alignment horizontal="center"/>
    </xf>
    <xf numFmtId="0" fontId="5" fillId="0" borderId="0" xfId="0" applyFont="1"/>
    <xf numFmtId="1" fontId="2" fillId="0" borderId="0" xfId="0" applyNumberFormat="1" applyFont="1" applyAlignment="1">
      <alignment horizontal="right"/>
    </xf>
    <xf numFmtId="4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 indent="3"/>
    </xf>
    <xf numFmtId="166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9" borderId="0" xfId="0" applyFont="1" applyFill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8" fillId="0" borderId="5" xfId="0" applyFont="1" applyBorder="1"/>
    <xf numFmtId="0" fontId="9" fillId="4" borderId="5" xfId="0" applyFont="1" applyFill="1" applyBorder="1" applyAlignment="1">
      <alignment horizontal="center"/>
    </xf>
    <xf numFmtId="0" fontId="10" fillId="0" borderId="5" xfId="0" applyFont="1" applyBorder="1"/>
    <xf numFmtId="0" fontId="7" fillId="10" borderId="5" xfId="0" applyFont="1" applyFill="1" applyBorder="1" applyAlignment="1">
      <alignment horizontal="center"/>
    </xf>
    <xf numFmtId="0" fontId="1" fillId="3" borderId="0" xfId="0" applyFont="1" applyFill="1" applyAlignment="1">
      <alignment horizontal="left" vertical="center"/>
    </xf>
    <xf numFmtId="0" fontId="11" fillId="11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11" fillId="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1" fillId="2" borderId="1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165" fontId="2" fillId="3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 vertical="center"/>
    </xf>
    <xf numFmtId="0" fontId="1" fillId="4" borderId="0" xfId="0" applyFont="1" applyFill="1" applyAlignment="1">
      <alignment horizontal="right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" fillId="11" borderId="9" xfId="0" applyFont="1" applyFill="1" applyBorder="1" applyAlignment="1">
      <alignment horizontal="right" vertical="center"/>
    </xf>
    <xf numFmtId="0" fontId="1" fillId="11" borderId="8" xfId="0" applyFont="1" applyFill="1" applyBorder="1" applyAlignment="1">
      <alignment horizontal="right" vertical="center"/>
    </xf>
    <xf numFmtId="3" fontId="2" fillId="3" borderId="0" xfId="0" applyNumberFormat="1" applyFont="1" applyFill="1" applyAlignment="1">
      <alignment horizontal="right" vertical="center"/>
    </xf>
    <xf numFmtId="3" fontId="2" fillId="12" borderId="0" xfId="0" applyNumberFormat="1" applyFont="1" applyFill="1" applyAlignment="1">
      <alignment horizontal="right" vertical="center"/>
    </xf>
    <xf numFmtId="10" fontId="2" fillId="3" borderId="0" xfId="0" applyNumberFormat="1" applyFont="1" applyFill="1" applyAlignment="1">
      <alignment horizontal="right" vertical="center"/>
    </xf>
    <xf numFmtId="1" fontId="2" fillId="0" borderId="7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4" borderId="11" xfId="0" applyFont="1" applyFill="1" applyBorder="1" applyAlignment="1">
      <alignment horizontal="right" vertical="center"/>
    </xf>
    <xf numFmtId="3" fontId="2" fillId="13" borderId="0" xfId="0" applyNumberFormat="1" applyFont="1" applyFill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3" fontId="2" fillId="14" borderId="0" xfId="0" applyNumberFormat="1" applyFont="1" applyFill="1" applyAlignment="1">
      <alignment horizontal="right" vertical="center"/>
    </xf>
    <xf numFmtId="1" fontId="2" fillId="14" borderId="14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3" fontId="2" fillId="16" borderId="0" xfId="0" applyNumberFormat="1" applyFont="1" applyFill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" fontId="1" fillId="0" borderId="15" xfId="0" applyNumberFormat="1" applyFont="1" applyBorder="1" applyAlignment="1">
      <alignment horizontal="right" vertical="center"/>
    </xf>
    <xf numFmtId="3" fontId="2" fillId="17" borderId="0" xfId="0" applyNumberFormat="1" applyFont="1" applyFill="1" applyAlignment="1">
      <alignment horizontal="right" vertical="center"/>
    </xf>
    <xf numFmtId="1" fontId="2" fillId="17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7" borderId="16" xfId="0" applyFont="1" applyFill="1" applyBorder="1" applyAlignment="1">
      <alignment horizontal="right" vertical="center"/>
    </xf>
    <xf numFmtId="3" fontId="2" fillId="18" borderId="0" xfId="0" applyNumberFormat="1" applyFont="1" applyFill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1" fontId="1" fillId="0" borderId="17" xfId="0" applyNumberFormat="1" applyFont="1" applyBorder="1" applyAlignment="1">
      <alignment horizontal="right" vertical="center"/>
    </xf>
    <xf numFmtId="3" fontId="2" fillId="19" borderId="0" xfId="0" applyNumberFormat="1" applyFont="1" applyFill="1" applyAlignment="1">
      <alignment horizontal="right" vertical="center"/>
    </xf>
    <xf numFmtId="1" fontId="2" fillId="19" borderId="17" xfId="0" applyNumberFormat="1" applyFont="1" applyFill="1" applyBorder="1" applyAlignment="1">
      <alignment horizontal="right" vertical="center"/>
    </xf>
    <xf numFmtId="0" fontId="1" fillId="6" borderId="18" xfId="0" applyFont="1" applyFill="1" applyBorder="1" applyAlignment="1">
      <alignment horizontal="right" vertical="center"/>
    </xf>
    <xf numFmtId="3" fontId="2" fillId="5" borderId="0" xfId="0" applyNumberFormat="1" applyFont="1" applyFill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1" fillId="11" borderId="0" xfId="0" applyFont="1" applyFill="1" applyAlignment="1">
      <alignment horizontal="right"/>
    </xf>
    <xf numFmtId="44" fontId="2" fillId="12" borderId="0" xfId="0" applyNumberFormat="1" applyFont="1" applyFill="1" applyAlignment="1">
      <alignment horizontal="right"/>
    </xf>
    <xf numFmtId="1" fontId="2" fillId="12" borderId="0" xfId="0" applyNumberFormat="1" applyFont="1" applyFill="1" applyAlignment="1">
      <alignment horizontal="right"/>
    </xf>
    <xf numFmtId="44" fontId="1" fillId="3" borderId="21" xfId="0" applyNumberFormat="1" applyFont="1" applyFill="1" applyBorder="1" applyAlignment="1">
      <alignment horizontal="right"/>
    </xf>
    <xf numFmtId="44" fontId="1" fillId="11" borderId="1" xfId="0" applyNumberFormat="1" applyFont="1" applyFill="1" applyBorder="1" applyAlignment="1">
      <alignment horizontal="right"/>
    </xf>
    <xf numFmtId="0" fontId="11" fillId="11" borderId="21" xfId="0" applyFont="1" applyFill="1" applyBorder="1" applyAlignment="1">
      <alignment horizontal="center"/>
    </xf>
    <xf numFmtId="44" fontId="2" fillId="13" borderId="0" xfId="0" applyNumberFormat="1" applyFont="1" applyFill="1" applyAlignment="1">
      <alignment horizontal="right"/>
    </xf>
    <xf numFmtId="1" fontId="2" fillId="13" borderId="0" xfId="0" applyNumberFormat="1" applyFont="1" applyFill="1" applyAlignment="1">
      <alignment horizontal="right"/>
    </xf>
    <xf numFmtId="44" fontId="2" fillId="13" borderId="0" xfId="0" applyNumberFormat="1" applyFont="1" applyFill="1" applyAlignment="1">
      <alignment horizontal="right" vertical="center"/>
    </xf>
    <xf numFmtId="166" fontId="2" fillId="13" borderId="0" xfId="0" applyNumberFormat="1" applyFont="1" applyFill="1" applyAlignment="1">
      <alignment horizontal="right"/>
    </xf>
    <xf numFmtId="0" fontId="1" fillId="4" borderId="11" xfId="0" applyFont="1" applyFill="1" applyBorder="1" applyAlignment="1">
      <alignment horizontal="right"/>
    </xf>
    <xf numFmtId="44" fontId="1" fillId="3" borderId="11" xfId="0" applyNumberFormat="1" applyFont="1" applyFill="1" applyBorder="1" applyAlignment="1">
      <alignment horizontal="right"/>
    </xf>
    <xf numFmtId="0" fontId="2" fillId="3" borderId="22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22" xfId="0" applyFont="1" applyFill="1" applyBorder="1"/>
    <xf numFmtId="0" fontId="2" fillId="0" borderId="22" xfId="0" applyFont="1" applyBorder="1"/>
    <xf numFmtId="0" fontId="2" fillId="0" borderId="22" xfId="0" applyFont="1" applyBorder="1" applyAlignment="1">
      <alignment horizontal="right"/>
    </xf>
    <xf numFmtId="0" fontId="2" fillId="0" borderId="22" xfId="0" applyFont="1" applyBorder="1" applyAlignment="1">
      <alignment horizontal="left" wrapText="1" indent="3"/>
    </xf>
    <xf numFmtId="0" fontId="2" fillId="0" borderId="22" xfId="0" applyFont="1" applyBorder="1" applyAlignment="1">
      <alignment horizontal="center"/>
    </xf>
    <xf numFmtId="164" fontId="2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0" fontId="1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right"/>
    </xf>
    <xf numFmtId="1" fontId="2" fillId="15" borderId="0" xfId="0" applyNumberFormat="1" applyFont="1" applyFill="1" applyAlignment="1">
      <alignment horizontal="right"/>
    </xf>
    <xf numFmtId="44" fontId="1" fillId="4" borderId="1" xfId="0" applyNumberFormat="1" applyFont="1" applyFill="1" applyBorder="1" applyAlignment="1">
      <alignment horizontal="right"/>
    </xf>
    <xf numFmtId="0" fontId="1" fillId="7" borderId="16" xfId="0" applyFont="1" applyFill="1" applyBorder="1" applyAlignment="1">
      <alignment horizontal="right"/>
    </xf>
    <xf numFmtId="0" fontId="1" fillId="0" borderId="0" xfId="0" applyFont="1" applyAlignment="1">
      <alignment horizontal="left" wrapText="1" indent="3"/>
    </xf>
    <xf numFmtId="165" fontId="1" fillId="3" borderId="0" xfId="0" applyNumberFormat="1" applyFont="1" applyFill="1" applyAlignment="1">
      <alignment horizontal="center"/>
    </xf>
    <xf numFmtId="1" fontId="2" fillId="18" borderId="0" xfId="0" applyNumberFormat="1" applyFont="1" applyFill="1" applyAlignment="1">
      <alignment horizontal="right"/>
    </xf>
    <xf numFmtId="0" fontId="1" fillId="0" borderId="22" xfId="0" applyFont="1" applyBorder="1" applyAlignment="1">
      <alignment horizontal="left" wrapText="1" indent="3"/>
    </xf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0" fontId="11" fillId="6" borderId="23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right"/>
    </xf>
    <xf numFmtId="9" fontId="2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7" fontId="0" fillId="0" borderId="0" xfId="0" applyNumberFormat="1" applyAlignment="1">
      <alignment horizontal="center" wrapText="1"/>
    </xf>
    <xf numFmtId="44" fontId="0" fillId="0" borderId="0" xfId="0" applyNumberFormat="1" applyAlignment="1">
      <alignment horizontal="center" wrapText="1"/>
    </xf>
    <xf numFmtId="17" fontId="1" fillId="0" borderId="0" xfId="0" applyNumberFormat="1" applyFont="1" applyAlignment="1">
      <alignment horizontal="right"/>
    </xf>
    <xf numFmtId="17" fontId="1" fillId="0" borderId="0" xfId="0" applyNumberFormat="1" applyFont="1"/>
    <xf numFmtId="17" fontId="2" fillId="0" borderId="0" xfId="0" applyNumberFormat="1" applyFont="1" applyAlignment="1">
      <alignment horizontal="right"/>
    </xf>
    <xf numFmtId="0" fontId="14" fillId="0" borderId="0" xfId="0" applyFont="1"/>
    <xf numFmtId="0" fontId="0" fillId="0" borderId="0" xfId="0" applyAlignment="1">
      <alignment horizontal="right" indent="3"/>
    </xf>
    <xf numFmtId="3" fontId="2" fillId="0" borderId="6" xfId="0" applyNumberFormat="1" applyFont="1" applyBorder="1" applyAlignment="1">
      <alignment horizontal="right" vertical="center"/>
    </xf>
    <xf numFmtId="3" fontId="1" fillId="11" borderId="8" xfId="0" applyNumberFormat="1" applyFont="1" applyFill="1" applyBorder="1" applyAlignment="1">
      <alignment horizontal="right" vertical="center"/>
    </xf>
    <xf numFmtId="0" fontId="0" fillId="0" borderId="1" xfId="0" applyBorder="1"/>
    <xf numFmtId="0" fontId="14" fillId="0" borderId="1" xfId="0" applyFont="1" applyBorder="1"/>
    <xf numFmtId="9" fontId="0" fillId="0" borderId="1" xfId="0" applyNumberFormat="1" applyBorder="1"/>
    <xf numFmtId="0" fontId="1" fillId="20" borderId="8" xfId="0" applyFont="1" applyFill="1" applyBorder="1" applyAlignment="1">
      <alignment horizontal="right" vertical="center"/>
    </xf>
    <xf numFmtId="3" fontId="2" fillId="20" borderId="0" xfId="0" applyNumberFormat="1" applyFont="1" applyFill="1" applyAlignment="1">
      <alignment horizontal="right" vertical="center"/>
    </xf>
    <xf numFmtId="0" fontId="2" fillId="20" borderId="0" xfId="0" applyFont="1" applyFill="1" applyAlignment="1">
      <alignment horizontal="right" vertical="center"/>
    </xf>
    <xf numFmtId="10" fontId="2" fillId="20" borderId="0" xfId="0" applyNumberFormat="1" applyFont="1" applyFill="1" applyAlignment="1">
      <alignment horizontal="right" vertical="center"/>
    </xf>
    <xf numFmtId="1" fontId="2" fillId="20" borderId="7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0" fontId="1" fillId="20" borderId="11" xfId="0" applyFont="1" applyFill="1" applyBorder="1" applyAlignment="1">
      <alignment horizontal="right" vertical="center"/>
    </xf>
    <xf numFmtId="3" fontId="2" fillId="20" borderId="14" xfId="0" applyNumberFormat="1" applyFont="1" applyFill="1" applyBorder="1" applyAlignment="1">
      <alignment horizontal="right" vertical="center"/>
    </xf>
    <xf numFmtId="3" fontId="1" fillId="4" borderId="14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1" fillId="20" borderId="15" xfId="0" applyFont="1" applyFill="1" applyBorder="1" applyAlignment="1">
      <alignment horizontal="right" vertical="center"/>
    </xf>
    <xf numFmtId="3" fontId="2" fillId="20" borderId="15" xfId="0" applyNumberFormat="1" applyFont="1" applyFill="1" applyBorder="1" applyAlignment="1">
      <alignment horizontal="right" vertical="center"/>
    </xf>
    <xf numFmtId="3" fontId="1" fillId="2" borderId="19" xfId="0" applyNumberFormat="1" applyFont="1" applyFill="1" applyBorder="1" applyAlignment="1">
      <alignment horizontal="right" vertical="center"/>
    </xf>
    <xf numFmtId="9" fontId="2" fillId="3" borderId="0" xfId="0" applyNumberFormat="1" applyFont="1" applyFill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0" fontId="1" fillId="20" borderId="16" xfId="0" applyFont="1" applyFill="1" applyBorder="1" applyAlignment="1">
      <alignment horizontal="right" vertical="center"/>
    </xf>
    <xf numFmtId="3" fontId="2" fillId="20" borderId="17" xfId="0" applyNumberFormat="1" applyFont="1" applyFill="1" applyBorder="1" applyAlignment="1">
      <alignment horizontal="right" vertical="center"/>
    </xf>
    <xf numFmtId="3" fontId="1" fillId="7" borderId="17" xfId="0" applyNumberFormat="1" applyFont="1" applyFill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1" fillId="3" borderId="2" xfId="0" applyNumberFormat="1" applyFont="1" applyFill="1" applyBorder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0" fontId="1" fillId="6" borderId="0" xfId="0" applyFont="1" applyFill="1" applyAlignment="1">
      <alignment horizontal="center" vertical="center"/>
    </xf>
    <xf numFmtId="9" fontId="1" fillId="6" borderId="0" xfId="0" applyNumberFormat="1" applyFont="1" applyFill="1" applyAlignment="1">
      <alignment horizontal="right" vertical="center"/>
    </xf>
    <xf numFmtId="0" fontId="14" fillId="0" borderId="24" xfId="0" applyFont="1" applyBorder="1"/>
    <xf numFmtId="0" fontId="0" fillId="0" borderId="26" xfId="0" applyBorder="1"/>
    <xf numFmtId="0" fontId="0" fillId="0" borderId="28" xfId="0" applyBorder="1"/>
    <xf numFmtId="9" fontId="0" fillId="0" borderId="29" xfId="0" applyNumberFormat="1" applyBorder="1"/>
    <xf numFmtId="0" fontId="0" fillId="0" borderId="30" xfId="0" applyBorder="1"/>
    <xf numFmtId="9" fontId="0" fillId="0" borderId="31" xfId="0" applyNumberFormat="1" applyBorder="1"/>
    <xf numFmtId="0" fontId="0" fillId="0" borderId="32" xfId="0" applyBorder="1"/>
    <xf numFmtId="0" fontId="0" fillId="0" borderId="33" xfId="0" applyBorder="1" applyAlignment="1">
      <alignment horizontal="left"/>
    </xf>
    <xf numFmtId="0" fontId="0" fillId="0" borderId="34" xfId="0" applyBorder="1"/>
    <xf numFmtId="167" fontId="0" fillId="0" borderId="1" xfId="0" applyNumberFormat="1" applyBorder="1"/>
    <xf numFmtId="167" fontId="0" fillId="0" borderId="34" xfId="0" applyNumberFormat="1" applyBorder="1"/>
    <xf numFmtId="167" fontId="0" fillId="0" borderId="26" xfId="0" applyNumberFormat="1" applyBorder="1"/>
    <xf numFmtId="167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12" borderId="0" xfId="0" applyNumberFormat="1" applyFont="1" applyFill="1" applyAlignment="1">
      <alignment horizontal="right"/>
    </xf>
    <xf numFmtId="168" fontId="2" fillId="12" borderId="0" xfId="0" applyNumberFormat="1" applyFont="1" applyFill="1" applyAlignment="1">
      <alignment horizontal="right"/>
    </xf>
    <xf numFmtId="168" fontId="2" fillId="0" borderId="0" xfId="0" applyNumberFormat="1" applyFont="1" applyAlignment="1">
      <alignment horizontal="right"/>
    </xf>
    <xf numFmtId="167" fontId="2" fillId="12" borderId="0" xfId="0" applyNumberFormat="1" applyFont="1" applyFill="1" applyAlignment="1">
      <alignment horizontal="right"/>
    </xf>
    <xf numFmtId="167" fontId="1" fillId="12" borderId="21" xfId="0" applyNumberFormat="1" applyFont="1" applyFill="1" applyBorder="1" applyAlignment="1">
      <alignment horizontal="right"/>
    </xf>
    <xf numFmtId="167" fontId="1" fillId="11" borderId="21" xfId="0" applyNumberFormat="1" applyFont="1" applyFill="1" applyBorder="1" applyAlignment="1">
      <alignment horizontal="right"/>
    </xf>
    <xf numFmtId="167" fontId="2" fillId="12" borderId="0" xfId="0" applyNumberFormat="1" applyFont="1" applyFill="1" applyAlignment="1">
      <alignment horizontal="right" vertical="center"/>
    </xf>
    <xf numFmtId="167" fontId="1" fillId="0" borderId="21" xfId="0" applyNumberFormat="1" applyFont="1" applyBorder="1" applyAlignment="1">
      <alignment horizontal="right" vertical="center"/>
    </xf>
    <xf numFmtId="168" fontId="2" fillId="3" borderId="0" xfId="0" applyNumberFormat="1" applyFont="1" applyFill="1" applyAlignment="1">
      <alignment horizontal="right"/>
    </xf>
    <xf numFmtId="168" fontId="1" fillId="3" borderId="21" xfId="0" applyNumberFormat="1" applyFont="1" applyFill="1" applyBorder="1" applyAlignment="1">
      <alignment horizontal="right"/>
    </xf>
    <xf numFmtId="168" fontId="1" fillId="11" borderId="1" xfId="0" applyNumberFormat="1" applyFont="1" applyFill="1" applyBorder="1" applyAlignment="1">
      <alignment horizontal="right"/>
    </xf>
    <xf numFmtId="168" fontId="1" fillId="12" borderId="21" xfId="0" applyNumberFormat="1" applyFont="1" applyFill="1" applyBorder="1" applyAlignment="1">
      <alignment horizontal="right"/>
    </xf>
    <xf numFmtId="168" fontId="1" fillId="11" borderId="21" xfId="0" applyNumberFormat="1" applyFont="1" applyFill="1" applyBorder="1" applyAlignment="1">
      <alignment horizontal="right"/>
    </xf>
    <xf numFmtId="168" fontId="2" fillId="13" borderId="0" xfId="0" applyNumberFormat="1" applyFont="1" applyFill="1" applyAlignment="1">
      <alignment horizontal="right"/>
    </xf>
    <xf numFmtId="168" fontId="1" fillId="3" borderId="11" xfId="0" applyNumberFormat="1" applyFont="1" applyFill="1" applyBorder="1" applyAlignment="1">
      <alignment horizontal="right"/>
    </xf>
    <xf numFmtId="168" fontId="1" fillId="4" borderId="1" xfId="0" applyNumberFormat="1" applyFont="1" applyFill="1" applyBorder="1" applyAlignment="1">
      <alignment horizontal="right"/>
    </xf>
    <xf numFmtId="168" fontId="1" fillId="13" borderId="11" xfId="0" applyNumberFormat="1" applyFont="1" applyFill="1" applyBorder="1" applyAlignment="1">
      <alignment horizontal="right"/>
    </xf>
    <xf numFmtId="168" fontId="1" fillId="4" borderId="11" xfId="0" applyNumberFormat="1" applyFont="1" applyFill="1" applyBorder="1" applyAlignment="1">
      <alignment horizontal="right"/>
    </xf>
    <xf numFmtId="168" fontId="1" fillId="0" borderId="11" xfId="0" applyNumberFormat="1" applyFont="1" applyBorder="1" applyAlignment="1">
      <alignment horizontal="right" vertical="center"/>
    </xf>
    <xf numFmtId="3" fontId="2" fillId="13" borderId="0" xfId="0" applyNumberFormat="1" applyFont="1" applyFill="1" applyAlignment="1">
      <alignment horizontal="right"/>
    </xf>
    <xf numFmtId="168" fontId="2" fillId="13" borderId="0" xfId="0" applyNumberFormat="1" applyFont="1" applyFill="1" applyAlignment="1">
      <alignment horizontal="right" vertical="center"/>
    </xf>
    <xf numFmtId="168" fontId="1" fillId="4" borderId="11" xfId="0" applyNumberFormat="1" applyFont="1" applyFill="1" applyBorder="1" applyAlignment="1">
      <alignment horizontal="right" vertical="center"/>
    </xf>
    <xf numFmtId="168" fontId="2" fillId="15" borderId="0" xfId="0" applyNumberFormat="1" applyFont="1" applyFill="1" applyAlignment="1">
      <alignment horizontal="right"/>
    </xf>
    <xf numFmtId="168" fontId="1" fillId="15" borderId="19" xfId="0" applyNumberFormat="1" applyFont="1" applyFill="1" applyBorder="1" applyAlignment="1">
      <alignment horizontal="right"/>
    </xf>
    <xf numFmtId="168" fontId="1" fillId="2" borderId="19" xfId="0" applyNumberFormat="1" applyFont="1" applyFill="1" applyBorder="1" applyAlignment="1">
      <alignment horizontal="right"/>
    </xf>
    <xf numFmtId="167" fontId="2" fillId="15" borderId="0" xfId="0" applyNumberFormat="1" applyFont="1" applyFill="1" applyAlignment="1">
      <alignment horizontal="right" vertical="center"/>
    </xf>
    <xf numFmtId="167" fontId="2" fillId="15" borderId="0" xfId="0" applyNumberFormat="1" applyFont="1" applyFill="1" applyAlignment="1">
      <alignment horizontal="right"/>
    </xf>
    <xf numFmtId="167" fontId="1" fillId="0" borderId="19" xfId="0" applyNumberFormat="1" applyFont="1" applyBorder="1" applyAlignment="1">
      <alignment horizontal="right" vertical="center"/>
    </xf>
    <xf numFmtId="167" fontId="1" fillId="2" borderId="19" xfId="0" applyNumberFormat="1" applyFont="1" applyFill="1" applyBorder="1" applyAlignment="1">
      <alignment horizontal="right"/>
    </xf>
    <xf numFmtId="3" fontId="2" fillId="15" borderId="0" xfId="0" applyNumberFormat="1" applyFont="1" applyFill="1" applyAlignment="1">
      <alignment horizontal="right"/>
    </xf>
    <xf numFmtId="168" fontId="2" fillId="18" borderId="0" xfId="0" applyNumberFormat="1" applyFont="1" applyFill="1" applyAlignment="1">
      <alignment horizontal="right"/>
    </xf>
    <xf numFmtId="168" fontId="1" fillId="18" borderId="16" xfId="0" applyNumberFormat="1" applyFont="1" applyFill="1" applyBorder="1" applyAlignment="1">
      <alignment horizontal="right"/>
    </xf>
    <xf numFmtId="168" fontId="1" fillId="7" borderId="16" xfId="0" applyNumberFormat="1" applyFont="1" applyFill="1" applyBorder="1" applyAlignment="1">
      <alignment horizontal="right"/>
    </xf>
    <xf numFmtId="167" fontId="2" fillId="18" borderId="0" xfId="0" applyNumberFormat="1" applyFont="1" applyFill="1" applyAlignment="1">
      <alignment horizontal="right" vertical="center"/>
    </xf>
    <xf numFmtId="167" fontId="2" fillId="18" borderId="0" xfId="0" applyNumberFormat="1" applyFont="1" applyFill="1" applyAlignment="1">
      <alignment horizontal="right"/>
    </xf>
    <xf numFmtId="167" fontId="1" fillId="0" borderId="16" xfId="0" applyNumberFormat="1" applyFont="1" applyBorder="1" applyAlignment="1">
      <alignment horizontal="right" vertical="center"/>
    </xf>
    <xf numFmtId="167" fontId="1" fillId="7" borderId="16" xfId="0" applyNumberFormat="1" applyFont="1" applyFill="1" applyBorder="1" applyAlignment="1">
      <alignment horizontal="right"/>
    </xf>
    <xf numFmtId="3" fontId="2" fillId="18" borderId="0" xfId="0" applyNumberFormat="1" applyFont="1" applyFill="1" applyAlignment="1">
      <alignment horizontal="right"/>
    </xf>
    <xf numFmtId="168" fontId="2" fillId="18" borderId="0" xfId="0" applyNumberFormat="1" applyFont="1" applyFill="1" applyAlignment="1">
      <alignment horizontal="right" vertical="center"/>
    </xf>
    <xf numFmtId="168" fontId="1" fillId="0" borderId="16" xfId="0" applyNumberFormat="1" applyFont="1" applyBorder="1" applyAlignment="1">
      <alignment horizontal="right" vertical="center"/>
    </xf>
    <xf numFmtId="168" fontId="1" fillId="7" borderId="16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Alignment="1">
      <alignment horizontal="right"/>
    </xf>
    <xf numFmtId="168" fontId="2" fillId="5" borderId="0" xfId="0" applyNumberFormat="1" applyFont="1" applyFill="1" applyAlignment="1">
      <alignment horizontal="right"/>
    </xf>
    <xf numFmtId="168" fontId="1" fillId="5" borderId="23" xfId="0" applyNumberFormat="1" applyFont="1" applyFill="1" applyBorder="1" applyAlignment="1">
      <alignment horizontal="right"/>
    </xf>
    <xf numFmtId="167" fontId="1" fillId="0" borderId="23" xfId="0" applyNumberFormat="1" applyFont="1" applyBorder="1" applyAlignment="1">
      <alignment horizontal="right" vertical="center"/>
    </xf>
    <xf numFmtId="167" fontId="1" fillId="0" borderId="23" xfId="0" applyNumberFormat="1" applyFont="1" applyBorder="1" applyAlignment="1">
      <alignment horizontal="right"/>
    </xf>
    <xf numFmtId="168" fontId="1" fillId="3" borderId="23" xfId="0" applyNumberFormat="1" applyFont="1" applyFill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168" fontId="1" fillId="3" borderId="19" xfId="0" applyNumberFormat="1" applyFont="1" applyFill="1" applyBorder="1" applyAlignment="1">
      <alignment horizontal="right"/>
    </xf>
    <xf numFmtId="168" fontId="1" fillId="2" borderId="1" xfId="0" applyNumberFormat="1" applyFont="1" applyFill="1" applyBorder="1" applyAlignment="1">
      <alignment horizontal="right"/>
    </xf>
    <xf numFmtId="168" fontId="1" fillId="3" borderId="16" xfId="0" applyNumberFormat="1" applyFont="1" applyFill="1" applyBorder="1" applyAlignment="1">
      <alignment horizontal="right"/>
    </xf>
    <xf numFmtId="168" fontId="1" fillId="7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 wrapText="1"/>
    </xf>
    <xf numFmtId="44" fontId="0" fillId="0" borderId="1" xfId="0" applyNumberForma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17" fontId="14" fillId="0" borderId="1" xfId="0" applyNumberFormat="1" applyFont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167" fontId="0" fillId="0" borderId="1" xfId="0" applyNumberForma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8" borderId="1" xfId="0" applyFont="1" applyFill="1" applyBorder="1" applyAlignment="1">
      <alignment horizontal="center" wrapText="1"/>
    </xf>
    <xf numFmtId="9" fontId="14" fillId="8" borderId="1" xfId="0" applyNumberFormat="1" applyFont="1" applyFill="1" applyBorder="1" applyAlignment="1">
      <alignment horizontal="center" wrapText="1"/>
    </xf>
    <xf numFmtId="167" fontId="14" fillId="6" borderId="0" xfId="0" applyNumberFormat="1" applyFont="1" applyFill="1" applyAlignment="1">
      <alignment horizontal="center" wrapText="1"/>
    </xf>
    <xf numFmtId="167" fontId="0" fillId="6" borderId="0" xfId="0" applyNumberFormat="1" applyFill="1" applyAlignment="1">
      <alignment horizontal="center" wrapText="1"/>
    </xf>
    <xf numFmtId="167" fontId="14" fillId="21" borderId="0" xfId="0" applyNumberFormat="1" applyFont="1" applyFill="1" applyAlignment="1">
      <alignment horizontal="center" wrapText="1"/>
    </xf>
    <xf numFmtId="169" fontId="0" fillId="6" borderId="0" xfId="0" applyNumberFormat="1" applyFill="1" applyAlignment="1">
      <alignment horizontal="center" wrapText="1"/>
    </xf>
    <xf numFmtId="169" fontId="0" fillId="0" borderId="1" xfId="0" applyNumberFormat="1" applyBorder="1"/>
    <xf numFmtId="0" fontId="1" fillId="6" borderId="0" xfId="0" applyFont="1" applyFill="1"/>
    <xf numFmtId="167" fontId="1" fillId="6" borderId="0" xfId="0" applyNumberFormat="1" applyFont="1" applyFill="1" applyAlignment="1">
      <alignment horizontal="right"/>
    </xf>
    <xf numFmtId="167" fontId="9" fillId="8" borderId="4" xfId="0" applyNumberFormat="1" applyFont="1" applyFill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167" fontId="9" fillId="3" borderId="4" xfId="0" applyNumberFormat="1" applyFont="1" applyFill="1" applyBorder="1" applyAlignment="1">
      <alignment horizontal="center"/>
    </xf>
    <xf numFmtId="167" fontId="8" fillId="0" borderId="4" xfId="0" applyNumberFormat="1" applyFont="1" applyBorder="1" applyAlignment="1">
      <alignment horizontal="center"/>
    </xf>
    <xf numFmtId="0" fontId="9" fillId="8" borderId="5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167" fontId="15" fillId="0" borderId="4" xfId="0" applyNumberFormat="1" applyFont="1" applyBorder="1" applyAlignment="1">
      <alignment horizontal="center"/>
    </xf>
    <xf numFmtId="167" fontId="15" fillId="3" borderId="4" xfId="0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left" indent="3"/>
    </xf>
    <xf numFmtId="0" fontId="15" fillId="0" borderId="0" xfId="0" applyFont="1" applyAlignment="1">
      <alignment horizontal="left" indent="3"/>
    </xf>
    <xf numFmtId="0" fontId="15" fillId="8" borderId="5" xfId="0" applyFont="1" applyFill="1" applyBorder="1" applyAlignment="1">
      <alignment horizontal="left" indent="3"/>
    </xf>
    <xf numFmtId="167" fontId="15" fillId="8" borderId="4" xfId="0" applyNumberFormat="1" applyFont="1" applyFill="1" applyBorder="1" applyAlignment="1">
      <alignment horizontal="center"/>
    </xf>
    <xf numFmtId="0" fontId="15" fillId="0" borderId="35" xfId="0" applyFont="1" applyBorder="1" applyAlignment="1">
      <alignment horizontal="left"/>
    </xf>
    <xf numFmtId="167" fontId="15" fillId="0" borderId="35" xfId="0" applyNumberFormat="1" applyFont="1" applyBorder="1" applyAlignment="1">
      <alignment horizontal="center"/>
    </xf>
    <xf numFmtId="167" fontId="15" fillId="3" borderId="35" xfId="0" applyNumberFormat="1" applyFont="1" applyFill="1" applyBorder="1" applyAlignment="1">
      <alignment horizontal="center"/>
    </xf>
    <xf numFmtId="167" fontId="15" fillId="0" borderId="36" xfId="0" applyNumberFormat="1" applyFont="1" applyBorder="1" applyAlignment="1">
      <alignment horizontal="center"/>
    </xf>
    <xf numFmtId="167" fontId="15" fillId="3" borderId="36" xfId="0" applyNumberFormat="1" applyFont="1" applyFill="1" applyBorder="1" applyAlignment="1">
      <alignment horizontal="center"/>
    </xf>
    <xf numFmtId="167" fontId="9" fillId="4" borderId="4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 horizontal="right"/>
    </xf>
    <xf numFmtId="166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Alignment="1">
      <alignment horizontal="right"/>
    </xf>
    <xf numFmtId="168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 vertical="center"/>
    </xf>
    <xf numFmtId="167" fontId="1" fillId="3" borderId="0" xfId="0" applyNumberFormat="1" applyFont="1" applyFill="1" applyAlignment="1">
      <alignment horizontal="right"/>
    </xf>
    <xf numFmtId="0" fontId="0" fillId="3" borderId="0" xfId="0" applyFill="1"/>
    <xf numFmtId="0" fontId="1" fillId="20" borderId="0" xfId="0" applyFont="1" applyFill="1" applyAlignment="1">
      <alignment horizontal="right"/>
    </xf>
    <xf numFmtId="1" fontId="2" fillId="20" borderId="0" xfId="0" applyNumberFormat="1" applyFont="1" applyFill="1" applyAlignment="1">
      <alignment horizontal="right"/>
    </xf>
    <xf numFmtId="168" fontId="2" fillId="20" borderId="0" xfId="0" applyNumberFormat="1" applyFont="1" applyFill="1" applyAlignment="1">
      <alignment horizontal="right"/>
    </xf>
    <xf numFmtId="166" fontId="1" fillId="20" borderId="0" xfId="0" applyNumberFormat="1" applyFont="1" applyFill="1" applyAlignment="1">
      <alignment horizontal="right" vertical="center" wrapText="1"/>
    </xf>
    <xf numFmtId="168" fontId="1" fillId="20" borderId="21" xfId="0" applyNumberFormat="1" applyFont="1" applyFill="1" applyBorder="1" applyAlignment="1">
      <alignment horizontal="right"/>
    </xf>
    <xf numFmtId="166" fontId="2" fillId="20" borderId="0" xfId="0" applyNumberFormat="1" applyFont="1" applyFill="1" applyAlignment="1">
      <alignment horizontal="right" vertical="center"/>
    </xf>
    <xf numFmtId="167" fontId="2" fillId="20" borderId="0" xfId="0" applyNumberFormat="1" applyFont="1" applyFill="1" applyAlignment="1">
      <alignment horizontal="right" vertical="center"/>
    </xf>
    <xf numFmtId="167" fontId="1" fillId="20" borderId="21" xfId="0" applyNumberFormat="1" applyFont="1" applyFill="1" applyBorder="1" applyAlignment="1">
      <alignment horizontal="right" vertical="center"/>
    </xf>
    <xf numFmtId="166" fontId="0" fillId="0" borderId="0" xfId="0" applyNumberFormat="1"/>
    <xf numFmtId="167" fontId="1" fillId="0" borderId="0" xfId="0" applyNumberFormat="1" applyFont="1" applyAlignment="1">
      <alignment horizontal="right" vertical="center"/>
    </xf>
    <xf numFmtId="167" fontId="1" fillId="20" borderId="0" xfId="0" applyNumberFormat="1" applyFont="1" applyFill="1" applyAlignment="1">
      <alignment horizontal="right" vertical="center"/>
    </xf>
    <xf numFmtId="0" fontId="1" fillId="22" borderId="0" xfId="0" applyFont="1" applyFill="1" applyAlignment="1">
      <alignment horizontal="right"/>
    </xf>
    <xf numFmtId="0" fontId="1" fillId="23" borderId="0" xfId="0" applyFont="1" applyFill="1" applyAlignment="1">
      <alignment horizontal="right"/>
    </xf>
    <xf numFmtId="0" fontId="1" fillId="24" borderId="0" xfId="0" applyFont="1" applyFill="1" applyAlignment="1">
      <alignment horizontal="right"/>
    </xf>
    <xf numFmtId="167" fontId="1" fillId="20" borderId="0" xfId="0" applyNumberFormat="1" applyFont="1" applyFill="1" applyAlignment="1">
      <alignment horizontal="right"/>
    </xf>
    <xf numFmtId="167" fontId="1" fillId="22" borderId="0" xfId="0" applyNumberFormat="1" applyFont="1" applyFill="1" applyAlignment="1">
      <alignment horizontal="right"/>
    </xf>
    <xf numFmtId="167" fontId="1" fillId="23" borderId="0" xfId="0" applyNumberFormat="1" applyFont="1" applyFill="1" applyAlignment="1">
      <alignment horizontal="right"/>
    </xf>
    <xf numFmtId="167" fontId="2" fillId="3" borderId="0" xfId="0" applyNumberFormat="1" applyFont="1" applyFill="1" applyAlignment="1">
      <alignment horizontal="center"/>
    </xf>
    <xf numFmtId="167" fontId="2" fillId="20" borderId="0" xfId="0" applyNumberFormat="1" applyFont="1" applyFill="1" applyAlignment="1">
      <alignment horizontal="center"/>
    </xf>
    <xf numFmtId="166" fontId="1" fillId="3" borderId="0" xfId="0" applyNumberFormat="1" applyFont="1" applyFill="1"/>
    <xf numFmtId="44" fontId="2" fillId="0" borderId="0" xfId="0" applyNumberFormat="1" applyFont="1" applyAlignment="1">
      <alignment horizontal="right" vertical="center" wrapText="1"/>
    </xf>
    <xf numFmtId="44" fontId="1" fillId="20" borderId="0" xfId="0" applyNumberFormat="1" applyFont="1" applyFill="1" applyAlignment="1">
      <alignment horizontal="right" vertical="center" wrapText="1"/>
    </xf>
    <xf numFmtId="44" fontId="0" fillId="0" borderId="0" xfId="0" applyNumberFormat="1"/>
    <xf numFmtId="44" fontId="2" fillId="0" borderId="0" xfId="0" applyNumberFormat="1" applyFont="1" applyAlignment="1">
      <alignment horizontal="center" vertical="center" wrapText="1"/>
    </xf>
    <xf numFmtId="44" fontId="2" fillId="20" borderId="0" xfId="0" applyNumberFormat="1" applyFont="1" applyFill="1" applyAlignment="1">
      <alignment horizontal="center" vertical="center" wrapText="1"/>
    </xf>
    <xf numFmtId="44" fontId="1" fillId="24" borderId="0" xfId="0" applyNumberFormat="1" applyFont="1" applyFill="1"/>
    <xf numFmtId="44" fontId="1" fillId="20" borderId="0" xfId="0" applyNumberFormat="1" applyFont="1" applyFill="1"/>
    <xf numFmtId="44" fontId="1" fillId="22" borderId="0" xfId="0" applyNumberFormat="1" applyFont="1" applyFill="1"/>
    <xf numFmtId="167" fontId="7" fillId="1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9" fontId="0" fillId="0" borderId="0" xfId="0" applyNumberFormat="1" applyBorder="1"/>
    <xf numFmtId="0" fontId="14" fillId="0" borderId="37" xfId="0" applyFont="1" applyBorder="1"/>
    <xf numFmtId="0" fontId="0" fillId="0" borderId="37" xfId="0" applyBorder="1"/>
    <xf numFmtId="0" fontId="0" fillId="0" borderId="37" xfId="0" applyBorder="1" applyAlignment="1">
      <alignment horizontal="left" indent="3"/>
    </xf>
    <xf numFmtId="170" fontId="0" fillId="0" borderId="1" xfId="0" applyNumberFormat="1" applyBorder="1"/>
    <xf numFmtId="1" fontId="0" fillId="0" borderId="1" xfId="0" applyNumberFormat="1" applyBorder="1"/>
    <xf numFmtId="167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167" fontId="1" fillId="3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 indent="3"/>
    </xf>
    <xf numFmtId="1" fontId="2" fillId="3" borderId="0" xfId="0" applyNumberFormat="1" applyFont="1" applyFill="1" applyAlignment="1">
      <alignment horizontal="right" vertical="center"/>
    </xf>
    <xf numFmtId="1" fontId="1" fillId="3" borderId="0" xfId="0" applyNumberFormat="1" applyFont="1" applyFill="1" applyAlignment="1">
      <alignment horizontal="right" vertical="center"/>
    </xf>
    <xf numFmtId="1" fontId="1" fillId="25" borderId="0" xfId="0" applyNumberFormat="1" applyFont="1" applyFill="1" applyAlignment="1">
      <alignment horizontal="right" vertical="center"/>
    </xf>
    <xf numFmtId="0" fontId="1" fillId="26" borderId="8" xfId="0" applyFont="1" applyFill="1" applyBorder="1" applyAlignment="1">
      <alignment horizontal="right" vertical="center"/>
    </xf>
    <xf numFmtId="1" fontId="2" fillId="26" borderId="0" xfId="0" applyNumberFormat="1" applyFont="1" applyFill="1" applyAlignment="1">
      <alignment horizontal="right" vertical="center"/>
    </xf>
    <xf numFmtId="3" fontId="2" fillId="26" borderId="0" xfId="0" applyNumberFormat="1" applyFont="1" applyFill="1" applyAlignment="1">
      <alignment horizontal="right" vertical="center"/>
    </xf>
    <xf numFmtId="1" fontId="2" fillId="25" borderId="0" xfId="0" applyNumberFormat="1" applyFont="1" applyFill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right" vertical="center"/>
    </xf>
    <xf numFmtId="3" fontId="1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10" fontId="0" fillId="0" borderId="1" xfId="0" applyNumberFormat="1" applyBorder="1"/>
    <xf numFmtId="0" fontId="1" fillId="26" borderId="0" xfId="0" applyFont="1" applyFill="1" applyBorder="1" applyAlignment="1">
      <alignment horizontal="right" vertical="center"/>
    </xf>
    <xf numFmtId="3" fontId="2" fillId="26" borderId="0" xfId="0" applyNumberFormat="1" applyFont="1" applyFill="1" applyBorder="1" applyAlignment="1">
      <alignment horizontal="right" vertical="center"/>
    </xf>
    <xf numFmtId="3" fontId="1" fillId="27" borderId="0" xfId="0" applyNumberFormat="1" applyFont="1" applyFill="1" applyBorder="1" applyAlignment="1">
      <alignment horizontal="right" vertical="center"/>
    </xf>
    <xf numFmtId="3" fontId="2" fillId="27" borderId="0" xfId="0" applyNumberFormat="1" applyFont="1" applyFill="1" applyBorder="1" applyAlignment="1">
      <alignment horizontal="right" vertical="center"/>
    </xf>
    <xf numFmtId="0" fontId="1" fillId="26" borderId="11" xfId="0" applyFont="1" applyFill="1" applyBorder="1" applyAlignment="1">
      <alignment horizontal="right" vertical="center"/>
    </xf>
    <xf numFmtId="3" fontId="2" fillId="27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indent="3"/>
    </xf>
    <xf numFmtId="3" fontId="1" fillId="27" borderId="0" xfId="0" applyNumberFormat="1" applyFon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0" fontId="2" fillId="3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indent="3"/>
    </xf>
    <xf numFmtId="0" fontId="11" fillId="28" borderId="0" xfId="0" applyFont="1" applyFill="1" applyBorder="1" applyAlignment="1">
      <alignment horizontal="center" vertical="center"/>
    </xf>
    <xf numFmtId="0" fontId="1" fillId="28" borderId="0" xfId="0" applyFont="1" applyFill="1" applyBorder="1" applyAlignment="1">
      <alignment horizontal="right" vertical="center"/>
    </xf>
    <xf numFmtId="3" fontId="2" fillId="29" borderId="0" xfId="0" applyNumberFormat="1" applyFont="1" applyFill="1" applyAlignment="1">
      <alignment horizontal="right" vertical="center"/>
    </xf>
    <xf numFmtId="3" fontId="2" fillId="29" borderId="0" xfId="0" applyNumberFormat="1" applyFont="1" applyFill="1" applyBorder="1" applyAlignment="1">
      <alignment horizontal="right" vertical="center"/>
    </xf>
    <xf numFmtId="3" fontId="1" fillId="29" borderId="0" xfId="0" applyNumberFormat="1" applyFont="1" applyFill="1" applyBorder="1" applyAlignment="1">
      <alignment horizontal="right" vertical="center"/>
    </xf>
    <xf numFmtId="3" fontId="1" fillId="29" borderId="0" xfId="0" applyNumberFormat="1" applyFont="1" applyFill="1" applyAlignment="1">
      <alignment horizontal="right" vertical="center"/>
    </xf>
    <xf numFmtId="0" fontId="1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right" vertical="center"/>
    </xf>
    <xf numFmtId="3" fontId="2" fillId="30" borderId="0" xfId="0" applyNumberFormat="1" applyFont="1" applyFill="1" applyBorder="1" applyAlignment="1">
      <alignment horizontal="right" vertical="center"/>
    </xf>
    <xf numFmtId="3" fontId="1" fillId="30" borderId="0" xfId="0" applyNumberFormat="1" applyFont="1" applyFill="1" applyBorder="1" applyAlignment="1">
      <alignment horizontal="right" vertical="center"/>
    </xf>
    <xf numFmtId="3" fontId="2" fillId="30" borderId="0" xfId="0" applyNumberFormat="1" applyFont="1" applyFill="1" applyAlignment="1">
      <alignment horizontal="right" vertical="center"/>
    </xf>
    <xf numFmtId="3" fontId="1" fillId="30" borderId="0" xfId="0" applyNumberFormat="1" applyFont="1" applyFill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3" fontId="1" fillId="5" borderId="0" xfId="0" applyNumberFormat="1" applyFont="1" applyFill="1" applyAlignment="1">
      <alignment horizontal="right" vertical="center"/>
    </xf>
    <xf numFmtId="171" fontId="0" fillId="0" borderId="1" xfId="0" applyNumberFormat="1" applyBorder="1"/>
    <xf numFmtId="171" fontId="0" fillId="0" borderId="0" xfId="0" applyNumberFormat="1" applyBorder="1"/>
    <xf numFmtId="0" fontId="0" fillId="0" borderId="1" xfId="0" applyFill="1" applyBorder="1"/>
    <xf numFmtId="168" fontId="1" fillId="5" borderId="1" xfId="0" applyNumberFormat="1" applyFont="1" applyFill="1" applyBorder="1" applyAlignment="1">
      <alignment horizontal="right"/>
    </xf>
    <xf numFmtId="166" fontId="2" fillId="3" borderId="0" xfId="0" applyNumberFormat="1" applyFont="1" applyFill="1" applyAlignment="1">
      <alignment horizontal="right" vertical="center"/>
    </xf>
    <xf numFmtId="167" fontId="2" fillId="3" borderId="0" xfId="0" applyNumberFormat="1" applyFont="1" applyFill="1" applyAlignment="1">
      <alignment horizontal="right" vertical="center"/>
    </xf>
    <xf numFmtId="0" fontId="1" fillId="3" borderId="0" xfId="0" applyFont="1" applyFill="1" applyBorder="1" applyAlignment="1">
      <alignment horizontal="right"/>
    </xf>
    <xf numFmtId="166" fontId="2" fillId="3" borderId="0" xfId="0" applyNumberFormat="1" applyFont="1" applyFill="1" applyBorder="1" applyAlignment="1">
      <alignment horizontal="right" vertical="center"/>
    </xf>
    <xf numFmtId="166" fontId="2" fillId="3" borderId="0" xfId="0" applyNumberFormat="1" applyFont="1" applyFill="1" applyBorder="1" applyAlignment="1">
      <alignment horizontal="right"/>
    </xf>
    <xf numFmtId="167" fontId="2" fillId="3" borderId="0" xfId="0" applyNumberFormat="1" applyFont="1" applyFill="1" applyBorder="1" applyAlignment="1">
      <alignment horizontal="right" vertical="center"/>
    </xf>
    <xf numFmtId="167" fontId="2" fillId="3" borderId="0" xfId="0" applyNumberFormat="1" applyFont="1" applyFill="1" applyBorder="1" applyAlignment="1">
      <alignment horizontal="right"/>
    </xf>
    <xf numFmtId="167" fontId="1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/>
    </xf>
    <xf numFmtId="166" fontId="2" fillId="5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167" fontId="2" fillId="5" borderId="0" xfId="0" applyNumberFormat="1" applyFont="1" applyFill="1" applyBorder="1" applyAlignment="1">
      <alignment horizontal="right" vertical="center"/>
    </xf>
    <xf numFmtId="167" fontId="1" fillId="5" borderId="0" xfId="0" applyNumberFormat="1" applyFont="1" applyFill="1" applyBorder="1" applyAlignment="1">
      <alignment horizontal="right" vertical="center"/>
    </xf>
    <xf numFmtId="167" fontId="15" fillId="0" borderId="0" xfId="0" applyNumberFormat="1" applyFont="1" applyBorder="1" applyAlignment="1">
      <alignment horizontal="center"/>
    </xf>
    <xf numFmtId="167" fontId="15" fillId="3" borderId="0" xfId="0" applyNumberFormat="1" applyFont="1" applyFill="1" applyBorder="1" applyAlignment="1">
      <alignment horizontal="center"/>
    </xf>
    <xf numFmtId="1" fontId="7" fillId="9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right" vertical="center" wrapText="1"/>
    </xf>
    <xf numFmtId="3" fontId="7" fillId="9" borderId="4" xfId="0" applyNumberFormat="1" applyFont="1" applyFill="1" applyBorder="1" applyAlignment="1">
      <alignment horizontal="center"/>
    </xf>
    <xf numFmtId="0" fontId="0" fillId="0" borderId="24" xfId="0" applyBorder="1"/>
    <xf numFmtId="171" fontId="0" fillId="0" borderId="24" xfId="0" applyNumberFormat="1" applyBorder="1"/>
    <xf numFmtId="0" fontId="0" fillId="0" borderId="38" xfId="0" applyBorder="1" applyAlignment="1">
      <alignment horizontal="center" vertical="center"/>
    </xf>
    <xf numFmtId="0" fontId="0" fillId="0" borderId="38" xfId="0" applyBorder="1"/>
    <xf numFmtId="171" fontId="0" fillId="0" borderId="38" xfId="0" applyNumberFormat="1" applyBorder="1"/>
    <xf numFmtId="0" fontId="14" fillId="0" borderId="41" xfId="0" applyFont="1" applyBorder="1"/>
    <xf numFmtId="0" fontId="0" fillId="0" borderId="20" xfId="0" applyBorder="1"/>
    <xf numFmtId="0" fontId="0" fillId="0" borderId="42" xfId="0" applyBorder="1" applyAlignment="1">
      <alignment horizontal="left"/>
    </xf>
    <xf numFmtId="0" fontId="0" fillId="0" borderId="37" xfId="0" applyFill="1" applyBorder="1"/>
    <xf numFmtId="44" fontId="1" fillId="12" borderId="21" xfId="0" applyNumberFormat="1" applyFont="1" applyFill="1" applyBorder="1" applyAlignment="1">
      <alignment horizontal="right"/>
    </xf>
    <xf numFmtId="44" fontId="1" fillId="12" borderId="1" xfId="0" applyNumberFormat="1" applyFont="1" applyFill="1" applyBorder="1" applyAlignment="1">
      <alignment horizontal="right"/>
    </xf>
    <xf numFmtId="167" fontId="1" fillId="12" borderId="21" xfId="0" applyNumberFormat="1" applyFont="1" applyFill="1" applyBorder="1" applyAlignment="1">
      <alignment horizontal="right" vertical="center"/>
    </xf>
    <xf numFmtId="166" fontId="2" fillId="12" borderId="0" xfId="0" applyNumberFormat="1" applyFont="1" applyFill="1" applyAlignment="1">
      <alignment horizontal="right" vertical="center"/>
    </xf>
    <xf numFmtId="166" fontId="2" fillId="12" borderId="0" xfId="0" applyNumberFormat="1" applyFont="1" applyFill="1" applyAlignment="1">
      <alignment horizontal="right"/>
    </xf>
    <xf numFmtId="166" fontId="2" fillId="31" borderId="0" xfId="0" applyNumberFormat="1" applyFont="1" applyFill="1" applyAlignment="1">
      <alignment horizontal="right" vertical="center"/>
    </xf>
    <xf numFmtId="166" fontId="2" fillId="31" borderId="0" xfId="0" applyNumberFormat="1" applyFont="1" applyFill="1" applyAlignment="1">
      <alignment horizontal="right"/>
    </xf>
    <xf numFmtId="167" fontId="1" fillId="31" borderId="0" xfId="0" applyNumberFormat="1" applyFont="1" applyFill="1" applyBorder="1" applyAlignment="1">
      <alignment horizontal="right" vertical="center"/>
    </xf>
    <xf numFmtId="167" fontId="1" fillId="31" borderId="0" xfId="0" applyNumberFormat="1" applyFont="1" applyFill="1" applyBorder="1" applyAlignment="1">
      <alignment horizontal="right"/>
    </xf>
    <xf numFmtId="171" fontId="2" fillId="3" borderId="0" xfId="0" applyNumberFormat="1" applyFont="1" applyFill="1" applyAlignment="1">
      <alignment horizontal="right" vertical="center"/>
    </xf>
    <xf numFmtId="166" fontId="2" fillId="31" borderId="0" xfId="0" applyNumberFormat="1" applyFont="1" applyFill="1" applyBorder="1" applyAlignment="1">
      <alignment horizontal="right" vertical="center"/>
    </xf>
    <xf numFmtId="166" fontId="2" fillId="31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166" fontId="2" fillId="29" borderId="0" xfId="0" applyNumberFormat="1" applyFont="1" applyFill="1" applyAlignment="1">
      <alignment horizontal="right" vertical="center"/>
    </xf>
    <xf numFmtId="166" fontId="2" fillId="29" borderId="0" xfId="0" applyNumberFormat="1" applyFont="1" applyFill="1" applyAlignment="1">
      <alignment horizontal="right"/>
    </xf>
    <xf numFmtId="167" fontId="1" fillId="29" borderId="0" xfId="0" applyNumberFormat="1" applyFont="1" applyFill="1" applyBorder="1" applyAlignment="1">
      <alignment horizontal="right" vertical="center"/>
    </xf>
    <xf numFmtId="167" fontId="1" fillId="29" borderId="0" xfId="0" applyNumberFormat="1" applyFont="1" applyFill="1" applyBorder="1" applyAlignment="1">
      <alignment horizontal="right"/>
    </xf>
    <xf numFmtId="166" fontId="2" fillId="29" borderId="0" xfId="0" applyNumberFormat="1" applyFont="1" applyFill="1" applyBorder="1" applyAlignment="1">
      <alignment horizontal="right" vertical="center"/>
    </xf>
    <xf numFmtId="166" fontId="2" fillId="29" borderId="0" xfId="0" applyNumberFormat="1" applyFont="1" applyFill="1" applyBorder="1" applyAlignment="1">
      <alignment horizontal="right"/>
    </xf>
    <xf numFmtId="0" fontId="1" fillId="7" borderId="0" xfId="0" applyFont="1" applyFill="1" applyAlignment="1">
      <alignment horizontal="right"/>
    </xf>
    <xf numFmtId="166" fontId="2" fillId="30" borderId="0" xfId="0" applyNumberFormat="1" applyFont="1" applyFill="1" applyAlignment="1">
      <alignment horizontal="right" vertical="center"/>
    </xf>
    <xf numFmtId="166" fontId="2" fillId="30" borderId="0" xfId="0" applyNumberFormat="1" applyFont="1" applyFill="1" applyAlignment="1">
      <alignment horizontal="right"/>
    </xf>
    <xf numFmtId="167" fontId="1" fillId="30" borderId="0" xfId="0" applyNumberFormat="1" applyFont="1" applyFill="1" applyBorder="1" applyAlignment="1">
      <alignment horizontal="right" vertical="center"/>
    </xf>
    <xf numFmtId="167" fontId="1" fillId="30" borderId="0" xfId="0" applyNumberFormat="1" applyFont="1" applyFill="1" applyBorder="1" applyAlignment="1">
      <alignment horizontal="right"/>
    </xf>
    <xf numFmtId="166" fontId="2" fillId="30" borderId="0" xfId="0" applyNumberFormat="1" applyFont="1" applyFill="1" applyBorder="1" applyAlignment="1">
      <alignment horizontal="right" vertical="center"/>
    </xf>
    <xf numFmtId="166" fontId="2" fillId="30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Font="1"/>
    <xf numFmtId="9" fontId="0" fillId="0" borderId="0" xfId="0" applyNumberFormat="1" applyFont="1"/>
    <xf numFmtId="3" fontId="0" fillId="0" borderId="0" xfId="0" applyNumberFormat="1"/>
    <xf numFmtId="167" fontId="0" fillId="0" borderId="0" xfId="0" applyNumberFormat="1"/>
    <xf numFmtId="167" fontId="0" fillId="0" borderId="0" xfId="0" applyNumberFormat="1" applyAlignment="1">
      <alignment horizontal="center" wrapText="1"/>
    </xf>
    <xf numFmtId="167" fontId="14" fillId="0" borderId="0" xfId="0" applyNumberFormat="1" applyFont="1"/>
    <xf numFmtId="167" fontId="0" fillId="0" borderId="0" xfId="0" applyNumberFormat="1" applyFont="1"/>
    <xf numFmtId="9" fontId="9" fillId="3" borderId="4" xfId="0" applyNumberFormat="1" applyFont="1" applyFill="1" applyBorder="1" applyAlignment="1">
      <alignment horizontal="center"/>
    </xf>
    <xf numFmtId="9" fontId="9" fillId="32" borderId="4" xfId="0" applyNumberFormat="1" applyFont="1" applyFill="1" applyBorder="1" applyAlignment="1">
      <alignment horizontal="center"/>
    </xf>
    <xf numFmtId="9" fontId="9" fillId="33" borderId="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EE2"/>
      <color rgb="FFFEFCE8"/>
      <color rgb="FFEDF1F9"/>
      <color rgb="FFCCFFCC"/>
      <color rgb="FFFDF3CF"/>
      <color rgb="FFFCF0C4"/>
      <color rgb="FF66CCFF"/>
      <color rgb="FFFC8174"/>
      <color rgb="FFFF9966"/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Market Share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Graphs!$C$5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Graphs!$D$4:$H$4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Graphs!$D$5:$H$5</c:f>
              <c:numCache>
                <c:formatCode>0%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0.05</c:v>
                </c:pt>
                <c:pt idx="3">
                  <c:v>0.08</c:v>
                </c:pt>
                <c:pt idx="4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1-43CB-A271-55D8D67B9AC6}"/>
            </c:ext>
          </c:extLst>
        </c:ser>
        <c:ser>
          <c:idx val="1"/>
          <c:order val="1"/>
          <c:tx>
            <c:strRef>
              <c:f>Graphs!$C$6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Graphs!$D$4:$H$4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Graphs!$D$6:$H$6</c:f>
              <c:numCache>
                <c:formatCode>0%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0.03</c:v>
                </c:pt>
                <c:pt idx="3">
                  <c:v>0.05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C1-43CB-A271-55D8D67B9AC6}"/>
            </c:ext>
          </c:extLst>
        </c:ser>
        <c:ser>
          <c:idx val="2"/>
          <c:order val="2"/>
          <c:tx>
            <c:strRef>
              <c:f>Graphs!$C$7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Graphs!$D$4:$H$4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Graphs!$D$7:$H$7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0.03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C1-43CB-A271-55D8D67B9AC6}"/>
            </c:ext>
          </c:extLst>
        </c:ser>
        <c:ser>
          <c:idx val="3"/>
          <c:order val="3"/>
          <c:tx>
            <c:strRef>
              <c:f>Graphs!$C$8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Graphs!$D$4:$H$4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Graphs!$D$8:$H$8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0.03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C1-43CB-A271-55D8D67B9A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71192296"/>
        <c:axId val="471192624"/>
      </c:barChart>
      <c:catAx>
        <c:axId val="471192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1192624"/>
        <c:crosses val="autoZero"/>
        <c:auto val="1"/>
        <c:lblAlgn val="ctr"/>
        <c:lblOffset val="100"/>
        <c:noMultiLvlLbl val="0"/>
      </c:catAx>
      <c:valAx>
        <c:axId val="47119262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7119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SPAIN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Income!$S$5</c:f>
              <c:strCache>
                <c:ptCount val="1"/>
                <c:pt idx="0">
                  <c:v>2019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Income!$R$6:$R$9</c:f>
              <c:strCache>
                <c:ptCount val="4"/>
                <c:pt idx="0">
                  <c:v>Chargers</c:v>
                </c:pt>
                <c:pt idx="1">
                  <c:v>Installations</c:v>
                </c:pt>
                <c:pt idx="2">
                  <c:v>Ecosystem</c:v>
                </c:pt>
                <c:pt idx="3">
                  <c:v>TOTAL INCOME</c:v>
                </c:pt>
              </c:strCache>
            </c:strRef>
          </c:cat>
          <c:val>
            <c:numRef>
              <c:f>Income!$S$6:$S$9</c:f>
              <c:numCache>
                <c:formatCode>_("€"* #,##0.00_);_("€"* \(#,##0.00\);_("€"* "-"??_);_(@_)</c:formatCode>
                <c:ptCount val="4"/>
                <c:pt idx="0">
                  <c:v>59727.360000000008</c:v>
                </c:pt>
                <c:pt idx="1">
                  <c:v>77568.000000000015</c:v>
                </c:pt>
                <c:pt idx="2" formatCode="[$€-2]\ #,##0_);\([$€-2]\ #,##0\)">
                  <c:v>0</c:v>
                </c:pt>
                <c:pt idx="3">
                  <c:v>137295.36000000002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C-42D2-A176-083D337E8C5D}"/>
            </c:ext>
          </c:extLst>
        </c:ser>
        <c:ser>
          <c:idx val="1"/>
          <c:order val="1"/>
          <c:tx>
            <c:strRef>
              <c:f>Income!$T$5</c:f>
              <c:strCache>
                <c:ptCount val="1"/>
                <c:pt idx="0">
                  <c:v>2020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Income!$R$6:$R$9</c:f>
              <c:strCache>
                <c:ptCount val="4"/>
                <c:pt idx="0">
                  <c:v>Chargers</c:v>
                </c:pt>
                <c:pt idx="1">
                  <c:v>Installations</c:v>
                </c:pt>
                <c:pt idx="2">
                  <c:v>Ecosystem</c:v>
                </c:pt>
                <c:pt idx="3">
                  <c:v>TOTAL INCOME</c:v>
                </c:pt>
              </c:strCache>
            </c:strRef>
          </c:cat>
          <c:val>
            <c:numRef>
              <c:f>Income!$T$6:$T$9</c:f>
              <c:numCache>
                <c:formatCode>_("€"* #,##0.00_);_("€"* \(#,##0.00\);_("€"* "-"??_);_(@_)</c:formatCode>
                <c:ptCount val="4"/>
                <c:pt idx="0">
                  <c:v>280482.04800000007</c:v>
                </c:pt>
                <c:pt idx="1">
                  <c:v>364262.40000000002</c:v>
                </c:pt>
                <c:pt idx="2" formatCode="[$€-2]\ #,##0">
                  <c:v>80947.200000000012</c:v>
                </c:pt>
                <c:pt idx="3">
                  <c:v>725691.64800000004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C-42D2-A176-083D337E8C5D}"/>
            </c:ext>
          </c:extLst>
        </c:ser>
        <c:ser>
          <c:idx val="2"/>
          <c:order val="2"/>
          <c:tx>
            <c:strRef>
              <c:f>Income!$U$5</c:f>
              <c:strCache>
                <c:ptCount val="1"/>
                <c:pt idx="0">
                  <c:v>2021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Income!$R$6:$R$9</c:f>
              <c:strCache>
                <c:ptCount val="4"/>
                <c:pt idx="0">
                  <c:v>Chargers</c:v>
                </c:pt>
                <c:pt idx="1">
                  <c:v>Installations</c:v>
                </c:pt>
                <c:pt idx="2">
                  <c:v>Ecosystem</c:v>
                </c:pt>
                <c:pt idx="3">
                  <c:v>TOTAL INCOME</c:v>
                </c:pt>
              </c:strCache>
            </c:strRef>
          </c:cat>
          <c:val>
            <c:numRef>
              <c:f>Income!$U$6:$U$9</c:f>
              <c:numCache>
                <c:formatCode>_("€"* #,##0.00_);_("€"* \(#,##0.00\);_("€"* "-"??_);_(@_)</c:formatCode>
                <c:ptCount val="4"/>
                <c:pt idx="0">
                  <c:v>715229.22240000032</c:v>
                </c:pt>
                <c:pt idx="1">
                  <c:v>928869.12000000034</c:v>
                </c:pt>
                <c:pt idx="2" formatCode="[$€-2]\ #,##0">
                  <c:v>597997.44000000018</c:v>
                </c:pt>
                <c:pt idx="3">
                  <c:v>2242095.7824000008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C-42D2-A176-083D337E8C5D}"/>
            </c:ext>
          </c:extLst>
        </c:ser>
        <c:ser>
          <c:idx val="3"/>
          <c:order val="3"/>
          <c:tx>
            <c:strRef>
              <c:f>Income!$V$5</c:f>
              <c:strCache>
                <c:ptCount val="1"/>
                <c:pt idx="0">
                  <c:v>2022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Income!$R$6:$R$9</c:f>
              <c:strCache>
                <c:ptCount val="4"/>
                <c:pt idx="0">
                  <c:v>Chargers</c:v>
                </c:pt>
                <c:pt idx="1">
                  <c:v>Installations</c:v>
                </c:pt>
                <c:pt idx="2">
                  <c:v>Ecosystem</c:v>
                </c:pt>
                <c:pt idx="3">
                  <c:v>TOTAL INCOME</c:v>
                </c:pt>
              </c:strCache>
            </c:strRef>
          </c:cat>
          <c:val>
            <c:numRef>
              <c:f>Income!$V$6:$V$9</c:f>
              <c:numCache>
                <c:formatCode>_("€"* #,##0.00_);_("€"* \(#,##0.00\);_("€"* "-"??_);_(@_)</c:formatCode>
                <c:ptCount val="4"/>
                <c:pt idx="0">
                  <c:v>1830986.8093440006</c:v>
                </c:pt>
                <c:pt idx="1">
                  <c:v>2377904.9472000003</c:v>
                </c:pt>
                <c:pt idx="2" formatCode="[$€-2]\ #,##0">
                  <c:v>2318125.4400000004</c:v>
                </c:pt>
                <c:pt idx="3">
                  <c:v>6527017.1965440018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C-42D2-A176-083D337E8C5D}"/>
            </c:ext>
          </c:extLst>
        </c:ser>
        <c:ser>
          <c:idx val="4"/>
          <c:order val="4"/>
          <c:tx>
            <c:strRef>
              <c:f>Income!$W$5</c:f>
              <c:strCache>
                <c:ptCount val="1"/>
                <c:pt idx="0">
                  <c:v>2023</c:v>
                </c:pt>
              </c:strCache>
            </c:strRef>
          </c:tx>
          <c:spPr>
            <a:gradFill flip="none" rotWithShape="1">
              <a:gsLst>
                <a:gs pos="0">
                  <a:schemeClr val="accent5"/>
                </a:gs>
                <a:gs pos="75000">
                  <a:schemeClr val="accent5">
                    <a:lumMod val="60000"/>
                    <a:lumOff val="40000"/>
                  </a:schemeClr>
                </a:gs>
                <a:gs pos="51000">
                  <a:schemeClr val="accent5">
                    <a:alpha val="75000"/>
                  </a:schemeClr>
                </a:gs>
                <a:gs pos="100000">
                  <a:schemeClr val="accent5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Income!$R$6:$R$9</c:f>
              <c:strCache>
                <c:ptCount val="4"/>
                <c:pt idx="0">
                  <c:v>Chargers</c:v>
                </c:pt>
                <c:pt idx="1">
                  <c:v>Installations</c:v>
                </c:pt>
                <c:pt idx="2">
                  <c:v>Ecosystem</c:v>
                </c:pt>
                <c:pt idx="3">
                  <c:v>TOTAL INCOME</c:v>
                </c:pt>
              </c:strCache>
            </c:strRef>
          </c:cat>
          <c:val>
            <c:numRef>
              <c:f>Income!$W$6:$W$9</c:f>
              <c:numCache>
                <c:formatCode>_("€"* #,##0.00_);_("€"* \(#,##0.00\);_("€"* "-"??_);_(@_)</c:formatCode>
                <c:ptCount val="4"/>
                <c:pt idx="0">
                  <c:v>5492960.4280320015</c:v>
                </c:pt>
                <c:pt idx="1">
                  <c:v>7133714.8416000018</c:v>
                </c:pt>
                <c:pt idx="2" formatCode="[$€-2]\ #,##0">
                  <c:v>6673320.8960000016</c:v>
                </c:pt>
                <c:pt idx="3">
                  <c:v>19299996.165632006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C-42D2-A176-083D337E8C5D}"/>
            </c:ext>
          </c:extLst>
        </c:ser>
        <c:ser>
          <c:idx val="5"/>
          <c:order val="5"/>
          <c:tx>
            <c:strRef>
              <c:f>Income!$X$5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Income!$R$6:$R$9</c:f>
              <c:strCache>
                <c:ptCount val="4"/>
                <c:pt idx="0">
                  <c:v>Chargers</c:v>
                </c:pt>
                <c:pt idx="1">
                  <c:v>Installations</c:v>
                </c:pt>
                <c:pt idx="2">
                  <c:v>Ecosystem</c:v>
                </c:pt>
                <c:pt idx="3">
                  <c:v>TOTAL INCOME</c:v>
                </c:pt>
              </c:strCache>
            </c:strRef>
          </c:cat>
          <c:val>
            <c:numRef>
              <c:f>Income!$X$6:$X$9</c:f>
              <c:numCache>
                <c:formatCode>_("€"* #,##0.00_);_("€"* \(#,##0.00\);_("€"* "-"??_);_(@_)</c:formatCode>
                <c:ptCount val="4"/>
                <c:pt idx="0">
                  <c:v>8379385.8677760027</c:v>
                </c:pt>
                <c:pt idx="1">
                  <c:v>10882319.308800003</c:v>
                </c:pt>
                <c:pt idx="2" formatCode="[$€-2]\ #,##0_);\([$€-2]\ #,##0\)">
                  <c:v>9670390.9760000017</c:v>
                </c:pt>
                <c:pt idx="3">
                  <c:v>28932096.152576007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C-42D2-A176-083D337E8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543649576"/>
        <c:axId val="543643672"/>
      </c:barChart>
      <c:catAx>
        <c:axId val="543649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643672"/>
        <c:crosses val="autoZero"/>
        <c:auto val="1"/>
        <c:lblAlgn val="ctr"/>
        <c:lblOffset val="100"/>
        <c:noMultiLvlLbl val="0"/>
      </c:catAx>
      <c:valAx>
        <c:axId val="54364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649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UK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Income!$T$52</c:f>
              <c:strCache>
                <c:ptCount val="1"/>
                <c:pt idx="0">
                  <c:v>2020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Income!$R$53:$R$56</c:f>
              <c:strCache>
                <c:ptCount val="4"/>
                <c:pt idx="0">
                  <c:v>Chargers</c:v>
                </c:pt>
                <c:pt idx="1">
                  <c:v>Installations</c:v>
                </c:pt>
                <c:pt idx="2">
                  <c:v>Ecosystem</c:v>
                </c:pt>
                <c:pt idx="3">
                  <c:v>TOTAL INCOME</c:v>
                </c:pt>
              </c:strCache>
            </c:strRef>
          </c:cat>
          <c:val>
            <c:numRef>
              <c:f>Income!$T$53:$T$56</c:f>
              <c:numCache>
                <c:formatCode>_("€"* #,##0.00_);_("€"* \(#,##0.00\);_("€"* "-"??_);_(@_)</c:formatCode>
                <c:ptCount val="4"/>
                <c:pt idx="0">
                  <c:v>211044.11078520003</c:v>
                </c:pt>
                <c:pt idx="1">
                  <c:v>274083.26076000003</c:v>
                </c:pt>
                <c:pt idx="2">
                  <c:v>0</c:v>
                </c:pt>
                <c:pt idx="3">
                  <c:v>485127.37154520006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8-404A-A917-5F30112AA779}"/>
            </c:ext>
          </c:extLst>
        </c:ser>
        <c:ser>
          <c:idx val="1"/>
          <c:order val="1"/>
          <c:tx>
            <c:strRef>
              <c:f>Income!$U$52</c:f>
              <c:strCache>
                <c:ptCount val="1"/>
                <c:pt idx="0">
                  <c:v>2021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Income!$R$53:$R$56</c:f>
              <c:strCache>
                <c:ptCount val="4"/>
                <c:pt idx="0">
                  <c:v>Chargers</c:v>
                </c:pt>
                <c:pt idx="1">
                  <c:v>Installations</c:v>
                </c:pt>
                <c:pt idx="2">
                  <c:v>Ecosystem</c:v>
                </c:pt>
                <c:pt idx="3">
                  <c:v>TOTAL INCOME</c:v>
                </c:pt>
              </c:strCache>
            </c:strRef>
          </c:cat>
          <c:val>
            <c:numRef>
              <c:f>Income!$U$53:$U$56</c:f>
              <c:numCache>
                <c:formatCode>_("€"* #,##0.00_);_("€"* \(#,##0.00\);_("€"* "-"??_);_(@_)</c:formatCode>
                <c:ptCount val="4"/>
                <c:pt idx="0">
                  <c:v>1193906.2094023679</c:v>
                </c:pt>
                <c:pt idx="1">
                  <c:v>1550527.5446783998</c:v>
                </c:pt>
                <c:pt idx="2">
                  <c:v>219703.28651927598</c:v>
                </c:pt>
                <c:pt idx="3">
                  <c:v>2744433.7540807677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8-404A-A917-5F30112AA779}"/>
            </c:ext>
          </c:extLst>
        </c:ser>
        <c:ser>
          <c:idx val="2"/>
          <c:order val="2"/>
          <c:tx>
            <c:strRef>
              <c:f>Income!$V$52</c:f>
              <c:strCache>
                <c:ptCount val="1"/>
                <c:pt idx="0">
                  <c:v>2022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Income!$R$53:$R$56</c:f>
              <c:strCache>
                <c:ptCount val="4"/>
                <c:pt idx="0">
                  <c:v>Chargers</c:v>
                </c:pt>
                <c:pt idx="1">
                  <c:v>Installations</c:v>
                </c:pt>
                <c:pt idx="2">
                  <c:v>Ecosystem</c:v>
                </c:pt>
                <c:pt idx="3">
                  <c:v>TOTAL INCOME</c:v>
                </c:pt>
              </c:strCache>
            </c:strRef>
          </c:cat>
          <c:val>
            <c:numRef>
              <c:f>Income!$V$53:$V$56</c:f>
              <c:numCache>
                <c:formatCode>_("€"* #,##0.00_);_("€"* \(#,##0.00\);_("€"* "-"??_);_(@_)</c:formatCode>
                <c:ptCount val="4"/>
                <c:pt idx="0">
                  <c:v>3183749.8917396488</c:v>
                </c:pt>
                <c:pt idx="1">
                  <c:v>4134740.1191424001</c:v>
                </c:pt>
                <c:pt idx="2">
                  <c:v>1658123.2300807671</c:v>
                </c:pt>
                <c:pt idx="3">
                  <c:v>7318490.0108820489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8-404A-A917-5F30112AA779}"/>
            </c:ext>
          </c:extLst>
        </c:ser>
        <c:ser>
          <c:idx val="3"/>
          <c:order val="3"/>
          <c:tx>
            <c:strRef>
              <c:f>Income!$W$52</c:f>
              <c:strCache>
                <c:ptCount val="1"/>
                <c:pt idx="0">
                  <c:v>2023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Income!$R$53:$R$56</c:f>
              <c:strCache>
                <c:ptCount val="4"/>
                <c:pt idx="0">
                  <c:v>Chargers</c:v>
                </c:pt>
                <c:pt idx="1">
                  <c:v>Installations</c:v>
                </c:pt>
                <c:pt idx="2">
                  <c:v>Ecosystem</c:v>
                </c:pt>
                <c:pt idx="3">
                  <c:v>TOTAL INCOME</c:v>
                </c:pt>
              </c:strCache>
            </c:strRef>
          </c:cat>
          <c:val>
            <c:numRef>
              <c:f>Income!$W$53:$W$56</c:f>
              <c:numCache>
                <c:formatCode>_("€"* #,##0.00_);_("€"* \(#,##0.00\);_("€"* "-"??_);_(@_)</c:formatCode>
                <c:ptCount val="4"/>
                <c:pt idx="0">
                  <c:v>8150399.7228535004</c:v>
                </c:pt>
                <c:pt idx="1">
                  <c:v>10584934.705004545</c:v>
                </c:pt>
                <c:pt idx="2">
                  <c:v>6443702.0716807675</c:v>
                </c:pt>
                <c:pt idx="3">
                  <c:v>18735334.427858047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D8-404A-A917-5F30112AA779}"/>
            </c:ext>
          </c:extLst>
        </c:ser>
        <c:ser>
          <c:idx val="4"/>
          <c:order val="4"/>
          <c:tx>
            <c:strRef>
              <c:f>Income!$X$52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chemeClr val="accent5"/>
                </a:gs>
                <a:gs pos="75000">
                  <a:schemeClr val="accent5">
                    <a:lumMod val="60000"/>
                    <a:lumOff val="40000"/>
                  </a:schemeClr>
                </a:gs>
                <a:gs pos="51000">
                  <a:schemeClr val="accent5">
                    <a:alpha val="75000"/>
                  </a:schemeClr>
                </a:gs>
                <a:gs pos="100000">
                  <a:schemeClr val="accent5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Income!$R$53:$R$56</c:f>
              <c:strCache>
                <c:ptCount val="4"/>
                <c:pt idx="0">
                  <c:v>Chargers</c:v>
                </c:pt>
                <c:pt idx="1">
                  <c:v>Installations</c:v>
                </c:pt>
                <c:pt idx="2">
                  <c:v>Ecosystem</c:v>
                </c:pt>
                <c:pt idx="3">
                  <c:v>TOTAL INCOME</c:v>
                </c:pt>
              </c:strCache>
            </c:strRef>
          </c:cat>
          <c:val>
            <c:numRef>
              <c:f>Income!$X$53:$X$56</c:f>
              <c:numCache>
                <c:formatCode>_("€"* #,##0.00_);_("€"* \(#,##0.00\);_("€"* "-"??_);_(@_)</c:formatCode>
                <c:ptCount val="4"/>
                <c:pt idx="0">
                  <c:v>12739099.934780717</c:v>
                </c:pt>
                <c:pt idx="1">
                  <c:v>16544285.629585344</c:v>
                </c:pt>
                <c:pt idx="2">
                  <c:v>8321528.58828081</c:v>
                </c:pt>
                <c:pt idx="3">
                  <c:v>37604914.152646869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D8-404A-A917-5F30112AA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543652200"/>
        <c:axId val="543642032"/>
      </c:barChart>
      <c:catAx>
        <c:axId val="543652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642032"/>
        <c:crosses val="autoZero"/>
        <c:auto val="1"/>
        <c:lblAlgn val="ctr"/>
        <c:lblOffset val="100"/>
        <c:noMultiLvlLbl val="0"/>
      </c:catAx>
      <c:valAx>
        <c:axId val="5436420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652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GERMANY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Income!$R$96</c:f>
              <c:strCache>
                <c:ptCount val="1"/>
                <c:pt idx="0">
                  <c:v>Chargers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Income!$T$95:$W$95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Income!$T$96:$W$96</c:f>
              <c:numCache>
                <c:formatCode>[$€-2]\ #,##0_);\([$€-2]\ #,##0\)</c:formatCode>
                <c:ptCount val="4"/>
                <c:pt idx="0">
                  <c:v>0</c:v>
                </c:pt>
                <c:pt idx="1">
                  <c:v>363307.9843007999</c:v>
                </c:pt>
                <c:pt idx="2">
                  <c:v>1743878.3246438396</c:v>
                </c:pt>
                <c:pt idx="3">
                  <c:v>4650342.1990502393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4-470F-81AC-552B43ED992F}"/>
            </c:ext>
          </c:extLst>
        </c:ser>
        <c:ser>
          <c:idx val="1"/>
          <c:order val="1"/>
          <c:tx>
            <c:strRef>
              <c:f>Income!$R$97</c:f>
              <c:strCache>
                <c:ptCount val="1"/>
                <c:pt idx="0">
                  <c:v>Installations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Income!$T$95:$W$95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Income!$T$97:$W$97</c:f>
              <c:numCache>
                <c:formatCode>[$€-2]\ #,##0_);\([$€-2]\ #,##0\)</c:formatCode>
                <c:ptCount val="4"/>
                <c:pt idx="0">
                  <c:v>0</c:v>
                </c:pt>
                <c:pt idx="1">
                  <c:v>471828.55103999987</c:v>
                </c:pt>
                <c:pt idx="2">
                  <c:v>2264777.0449919994</c:v>
                </c:pt>
                <c:pt idx="3">
                  <c:v>6039405.4533119984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94-470F-81AC-552B43ED992F}"/>
            </c:ext>
          </c:extLst>
        </c:ser>
        <c:ser>
          <c:idx val="2"/>
          <c:order val="2"/>
          <c:tx>
            <c:strRef>
              <c:f>Income!$R$99</c:f>
              <c:strCache>
                <c:ptCount val="1"/>
                <c:pt idx="0">
                  <c:v>TOTAL INCOME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Income!$T$95:$W$95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Income!$T$99:$W$99</c:f>
              <c:numCache>
                <c:formatCode>[$€-2]\ #,##0_);\([$€-2]\ #,##0\)</c:formatCode>
                <c:ptCount val="4"/>
                <c:pt idx="0">
                  <c:v>0</c:v>
                </c:pt>
                <c:pt idx="1">
                  <c:v>835136.53534079972</c:v>
                </c:pt>
                <c:pt idx="2">
                  <c:v>4008655.369635839</c:v>
                </c:pt>
                <c:pt idx="3">
                  <c:v>10689747.652362239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94-470F-81AC-552B43ED9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500649392"/>
        <c:axId val="500647424"/>
      </c:barChart>
      <c:catAx>
        <c:axId val="50064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0647424"/>
        <c:crosses val="autoZero"/>
        <c:auto val="1"/>
        <c:lblAlgn val="ctr"/>
        <c:lblOffset val="100"/>
        <c:noMultiLvlLbl val="0"/>
      </c:catAx>
      <c:valAx>
        <c:axId val="5006474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[$€-2]\ #,##0_);\([$€-2]\ 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064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FRANCE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Income!$R$139</c:f>
              <c:strCache>
                <c:ptCount val="1"/>
                <c:pt idx="0">
                  <c:v>Chargers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Income!$T$138:$X$138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TOTAL</c:v>
                </c:pt>
              </c:strCache>
            </c:strRef>
          </c:cat>
          <c:val>
            <c:numRef>
              <c:f>Income!$T$139:$X$139</c:f>
              <c:numCache>
                <c:formatCode>[$€-2]\ #,##0_);\([$€-2]\ #,##0\)</c:formatCode>
                <c:ptCount val="5"/>
                <c:pt idx="0">
                  <c:v>0</c:v>
                </c:pt>
                <c:pt idx="1">
                  <c:v>206551.69299071998</c:v>
                </c:pt>
                <c:pt idx="2">
                  <c:v>991448.12635545596</c:v>
                </c:pt>
                <c:pt idx="3">
                  <c:v>3841861.489627392</c:v>
                </c:pt>
                <c:pt idx="4">
                  <c:v>3841861.489627392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8-4A0D-AF81-2571BDA89370}"/>
            </c:ext>
          </c:extLst>
        </c:ser>
        <c:ser>
          <c:idx val="1"/>
          <c:order val="1"/>
          <c:tx>
            <c:strRef>
              <c:f>Income!$R$140</c:f>
              <c:strCache>
                <c:ptCount val="1"/>
                <c:pt idx="0">
                  <c:v>Installations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Income!$T$138:$X$138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TOTAL</c:v>
                </c:pt>
              </c:strCache>
            </c:strRef>
          </c:cat>
          <c:val>
            <c:numRef>
              <c:f>Income!$T$140:$X$140</c:f>
              <c:numCache>
                <c:formatCode>[$€-2]\ #,##0_);\([$€-2]\ #,##0\)</c:formatCode>
                <c:ptCount val="5"/>
                <c:pt idx="0">
                  <c:v>0</c:v>
                </c:pt>
                <c:pt idx="1">
                  <c:v>268248.95193599997</c:v>
                </c:pt>
                <c:pt idx="2">
                  <c:v>1287594.9692927997</c:v>
                </c:pt>
                <c:pt idx="3">
                  <c:v>4989430.5060095992</c:v>
                </c:pt>
                <c:pt idx="4">
                  <c:v>4989430.5060095992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A8-4A0D-AF81-2571BDA89370}"/>
            </c:ext>
          </c:extLst>
        </c:ser>
        <c:ser>
          <c:idx val="2"/>
          <c:order val="2"/>
          <c:tx>
            <c:strRef>
              <c:f>Income!$R$142</c:f>
              <c:strCache>
                <c:ptCount val="1"/>
                <c:pt idx="0">
                  <c:v>TOTAL INCOME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Income!$T$138:$X$138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TOTAL</c:v>
                </c:pt>
              </c:strCache>
            </c:strRef>
          </c:cat>
          <c:val>
            <c:numRef>
              <c:f>Income!$T$142:$X$142</c:f>
              <c:numCache>
                <c:formatCode>[$€-2]\ #,##0_);\([$€-2]\ #,##0\)</c:formatCode>
                <c:ptCount val="5"/>
                <c:pt idx="0">
                  <c:v>0</c:v>
                </c:pt>
                <c:pt idx="1">
                  <c:v>474800.64492671995</c:v>
                </c:pt>
                <c:pt idx="2">
                  <c:v>2279043.0956482557</c:v>
                </c:pt>
                <c:pt idx="3">
                  <c:v>8831291.9956369922</c:v>
                </c:pt>
                <c:pt idx="4">
                  <c:v>12668394.468495408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A8-4A0D-AF81-2571BDA89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500638896"/>
        <c:axId val="500633648"/>
      </c:barChart>
      <c:catAx>
        <c:axId val="50063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0633648"/>
        <c:crosses val="autoZero"/>
        <c:auto val="1"/>
        <c:lblAlgn val="ctr"/>
        <c:lblOffset val="100"/>
        <c:noMultiLvlLbl val="0"/>
      </c:catAx>
      <c:valAx>
        <c:axId val="500633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[$€-2]\ #,##0_);\([$€-2]\ 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063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TOTAL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Ecosystem</c:v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Income!$C$182:$H$182</c:f>
              <c:numCache>
                <c:formatCode>[$€-2]\ #,##0_);\([$€-2]\ #,##0\)</c:formatCode>
                <c:ptCount val="6"/>
                <c:pt idx="0">
                  <c:v>0</c:v>
                </c:pt>
                <c:pt idx="1">
                  <c:v>80947.200000000012</c:v>
                </c:pt>
                <c:pt idx="2">
                  <c:v>817700.72651927616</c:v>
                </c:pt>
                <c:pt idx="3">
                  <c:v>5148133.136319981</c:v>
                </c:pt>
                <c:pt idx="4">
                  <c:v>22526639.356147971</c:v>
                </c:pt>
                <c:pt idx="5">
                  <c:v>28573420.418987229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A8E-AECE-A13705245C29}"/>
            </c:ext>
          </c:extLst>
        </c:ser>
        <c:ser>
          <c:idx val="0"/>
          <c:order val="1"/>
          <c:tx>
            <c:strRef>
              <c:f>Income!$B$180</c:f>
              <c:strCache>
                <c:ptCount val="1"/>
                <c:pt idx="0">
                  <c:v>Chargers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Income!$C$179:$H$179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TOTAL</c:v>
                </c:pt>
              </c:strCache>
            </c:strRef>
          </c:cat>
          <c:val>
            <c:numRef>
              <c:f>Income!$C$180:$H$180</c:f>
              <c:numCache>
                <c:formatCode>[$€-2]\ #,##0_);\([$€-2]\ #,##0\)</c:formatCode>
                <c:ptCount val="6"/>
                <c:pt idx="0">
                  <c:v>59727.360000000008</c:v>
                </c:pt>
                <c:pt idx="1">
                  <c:v>491526.15878519998</c:v>
                </c:pt>
                <c:pt idx="2">
                  <c:v>2478995.1090938882</c:v>
                </c:pt>
                <c:pt idx="3">
                  <c:v>7750063.1520829443</c:v>
                </c:pt>
                <c:pt idx="4">
                  <c:v>20937564.020216957</c:v>
                </c:pt>
                <c:pt idx="5">
                  <c:v>31717875.80017899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6-450E-857B-DEC0162C055B}"/>
            </c:ext>
          </c:extLst>
        </c:ser>
        <c:ser>
          <c:idx val="1"/>
          <c:order val="2"/>
          <c:tx>
            <c:strRef>
              <c:f>Income!$B$181</c:f>
              <c:strCache>
                <c:ptCount val="1"/>
                <c:pt idx="0">
                  <c:v>Installations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Income!$C$179:$H$179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TOTAL</c:v>
                </c:pt>
              </c:strCache>
            </c:strRef>
          </c:cat>
          <c:val>
            <c:numRef>
              <c:f>Income!$C$181:$H$181</c:f>
              <c:numCache>
                <c:formatCode>[$€-2]\ #,##0_);\([$€-2]\ #,##0\)</c:formatCode>
                <c:ptCount val="6"/>
                <c:pt idx="0">
                  <c:v>77568.000000000015</c:v>
                </c:pt>
                <c:pt idx="1">
                  <c:v>638345.66076000012</c:v>
                </c:pt>
                <c:pt idx="2">
                  <c:v>3219474.1676544002</c:v>
                </c:pt>
                <c:pt idx="3">
                  <c:v>10065017.080627199</c:v>
                </c:pt>
                <c:pt idx="4">
                  <c:v>27191641.584697347</c:v>
                </c:pt>
                <c:pt idx="5">
                  <c:v>41192046.493738949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C6-450E-857B-DEC0162C055B}"/>
            </c:ext>
          </c:extLst>
        </c:ser>
        <c:ser>
          <c:idx val="2"/>
          <c:order val="3"/>
          <c:tx>
            <c:strRef>
              <c:f>Income!$B$183</c:f>
              <c:strCache>
                <c:ptCount val="1"/>
                <c:pt idx="0">
                  <c:v>TOTAL INCOME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Income!$C$179:$H$179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TOTAL</c:v>
                </c:pt>
              </c:strCache>
            </c:strRef>
          </c:cat>
          <c:val>
            <c:numRef>
              <c:f>Income!$C$183:$H$183</c:f>
              <c:numCache>
                <c:formatCode>[$€-2]\ #,##0_);\([$€-2]\ #,##0\)</c:formatCode>
                <c:ptCount val="6"/>
                <c:pt idx="0">
                  <c:v>137295.36000000002</c:v>
                </c:pt>
                <c:pt idx="1">
                  <c:v>1210819.0195452</c:v>
                </c:pt>
                <c:pt idx="2">
                  <c:v>6516170.0032675648</c:v>
                </c:pt>
                <c:pt idx="3">
                  <c:v>22963213.369030125</c:v>
                </c:pt>
                <c:pt idx="4">
                  <c:v>70655844.961062282</c:v>
                </c:pt>
                <c:pt idx="5">
                  <c:v>101483342.71290517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C6-450E-857B-DEC0162C0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651688"/>
        <c:axId val="500646112"/>
      </c:barChart>
      <c:catAx>
        <c:axId val="50065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0646112"/>
        <c:crosses val="autoZero"/>
        <c:auto val="1"/>
        <c:lblAlgn val="ctr"/>
        <c:lblOffset val="100"/>
        <c:noMultiLvlLbl val="0"/>
      </c:catAx>
      <c:valAx>
        <c:axId val="5006461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[$€-2]\ #,##0_);\([$€-2]\ 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06516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SPAIN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of Sales'!$S$5</c:f>
              <c:strCache>
                <c:ptCount val="1"/>
                <c:pt idx="0">
                  <c:v>2019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'Cost of Sales'!$R$6:$R$8</c:f>
              <c:strCache>
                <c:ptCount val="3"/>
                <c:pt idx="0">
                  <c:v>Chargers</c:v>
                </c:pt>
                <c:pt idx="1">
                  <c:v>Installations</c:v>
                </c:pt>
                <c:pt idx="2">
                  <c:v>TOTAL COST OF SALES</c:v>
                </c:pt>
              </c:strCache>
            </c:strRef>
          </c:cat>
          <c:val>
            <c:numRef>
              <c:f>'Cost of Sales'!$S$6:$S$8</c:f>
              <c:numCache>
                <c:formatCode>_("€"* #,##0.00_);_("€"* \(#,##0.00\);_("€"* "-"??_);_(@_)</c:formatCode>
                <c:ptCount val="3"/>
                <c:pt idx="0">
                  <c:v>49701.696000000004</c:v>
                </c:pt>
                <c:pt idx="1">
                  <c:v>46540.800000000003</c:v>
                </c:pt>
                <c:pt idx="2">
                  <c:v>96242.496000000014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1-43E0-B8EA-D04B75BFE212}"/>
            </c:ext>
          </c:extLst>
        </c:ser>
        <c:ser>
          <c:idx val="1"/>
          <c:order val="1"/>
          <c:tx>
            <c:strRef>
              <c:f>'Cost of Sales'!$T$5</c:f>
              <c:strCache>
                <c:ptCount val="1"/>
                <c:pt idx="0">
                  <c:v>2020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'Cost of Sales'!$R$6:$R$8</c:f>
              <c:strCache>
                <c:ptCount val="3"/>
                <c:pt idx="0">
                  <c:v>Chargers</c:v>
                </c:pt>
                <c:pt idx="1">
                  <c:v>Installations</c:v>
                </c:pt>
                <c:pt idx="2">
                  <c:v>TOTAL COST OF SALES</c:v>
                </c:pt>
              </c:strCache>
            </c:strRef>
          </c:cat>
          <c:val>
            <c:numRef>
              <c:f>'Cost of Sales'!$T$6:$T$8</c:f>
              <c:numCache>
                <c:formatCode>_("€"* #,##0.00_);_("€"* \(#,##0.00\);_("€"* "-"??_);_(@_)</c:formatCode>
                <c:ptCount val="3"/>
                <c:pt idx="0">
                  <c:v>220434.4032</c:v>
                </c:pt>
                <c:pt idx="1">
                  <c:v>206415.36000000004</c:v>
                </c:pt>
                <c:pt idx="2">
                  <c:v>426849.76320000004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1-43E0-B8EA-D04B75BFE212}"/>
            </c:ext>
          </c:extLst>
        </c:ser>
        <c:ser>
          <c:idx val="2"/>
          <c:order val="2"/>
          <c:tx>
            <c:strRef>
              <c:f>'Cost of Sales'!$U$5</c:f>
              <c:strCache>
                <c:ptCount val="1"/>
                <c:pt idx="0">
                  <c:v>2021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'Cost of Sales'!$R$6:$R$8</c:f>
              <c:strCache>
                <c:ptCount val="3"/>
                <c:pt idx="0">
                  <c:v>Chargers</c:v>
                </c:pt>
                <c:pt idx="1">
                  <c:v>Installations</c:v>
                </c:pt>
                <c:pt idx="2">
                  <c:v>TOTAL COST OF SALES</c:v>
                </c:pt>
              </c:strCache>
            </c:strRef>
          </c:cat>
          <c:val>
            <c:numRef>
              <c:f>'Cost of Sales'!$U$6:$U$8</c:f>
              <c:numCache>
                <c:formatCode>_("€"* #,##0.00_);_("€"* \(#,##0.00\);_("€"* "-"??_);_(@_)</c:formatCode>
                <c:ptCount val="3"/>
                <c:pt idx="0">
                  <c:v>530879.52104000014</c:v>
                </c:pt>
                <c:pt idx="1">
                  <c:v>497116.9920000002</c:v>
                </c:pt>
                <c:pt idx="2">
                  <c:v>1027996.5130400003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D1-43E0-B8EA-D04B75BFE212}"/>
            </c:ext>
          </c:extLst>
        </c:ser>
        <c:ser>
          <c:idx val="3"/>
          <c:order val="3"/>
          <c:tx>
            <c:strRef>
              <c:f>'Cost of Sales'!$V$5</c:f>
              <c:strCache>
                <c:ptCount val="1"/>
                <c:pt idx="0">
                  <c:v>2022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'Cost of Sales'!$R$6:$R$8</c:f>
              <c:strCache>
                <c:ptCount val="3"/>
                <c:pt idx="0">
                  <c:v>Chargers</c:v>
                </c:pt>
                <c:pt idx="1">
                  <c:v>Installations</c:v>
                </c:pt>
                <c:pt idx="2">
                  <c:v>TOTAL COST OF SALES</c:v>
                </c:pt>
              </c:strCache>
            </c:strRef>
          </c:cat>
          <c:val>
            <c:numRef>
              <c:f>'Cost of Sales'!$V$6:$V$8</c:f>
              <c:numCache>
                <c:formatCode>_("€"* #,##0.00_);_("€"* \(#,##0.00\);_("€"* "-"??_);_(@_)</c:formatCode>
                <c:ptCount val="3"/>
                <c:pt idx="0">
                  <c:v>1274110.8504960001</c:v>
                </c:pt>
                <c:pt idx="1">
                  <c:v>1193080.7808000003</c:v>
                </c:pt>
                <c:pt idx="2">
                  <c:v>2467191.6312960004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D1-43E0-B8EA-D04B75BFE212}"/>
            </c:ext>
          </c:extLst>
        </c:ser>
        <c:ser>
          <c:idx val="4"/>
          <c:order val="4"/>
          <c:tx>
            <c:strRef>
              <c:f>'Cost of Sales'!$W$5</c:f>
              <c:strCache>
                <c:ptCount val="1"/>
                <c:pt idx="0">
                  <c:v>2023</c:v>
                </c:pt>
              </c:strCache>
            </c:strRef>
          </c:tx>
          <c:spPr>
            <a:gradFill flip="none" rotWithShape="1">
              <a:gsLst>
                <a:gs pos="0">
                  <a:schemeClr val="accent5"/>
                </a:gs>
                <a:gs pos="75000">
                  <a:schemeClr val="accent5">
                    <a:lumMod val="60000"/>
                    <a:lumOff val="40000"/>
                  </a:schemeClr>
                </a:gs>
                <a:gs pos="51000">
                  <a:schemeClr val="accent5">
                    <a:alpha val="75000"/>
                  </a:schemeClr>
                </a:gs>
                <a:gs pos="100000">
                  <a:schemeClr val="accent5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'Cost of Sales'!$R$6:$R$8</c:f>
              <c:strCache>
                <c:ptCount val="3"/>
                <c:pt idx="0">
                  <c:v>Chargers</c:v>
                </c:pt>
                <c:pt idx="1">
                  <c:v>Installations</c:v>
                </c:pt>
                <c:pt idx="2">
                  <c:v>TOTAL COST OF SALES</c:v>
                </c:pt>
              </c:strCache>
            </c:strRef>
          </c:cat>
          <c:val>
            <c:numRef>
              <c:f>'Cost of Sales'!$W$6:$W$8</c:f>
              <c:numCache>
                <c:formatCode>_("€"* #,##0.00_);_("€"* \(#,##0.00\);_("€"* "-"??_);_(@_)</c:formatCode>
                <c:ptCount val="3"/>
                <c:pt idx="0">
                  <c:v>3583436.7670200001</c:v>
                </c:pt>
                <c:pt idx="1">
                  <c:v>3355539.6960000009</c:v>
                </c:pt>
                <c:pt idx="2">
                  <c:v>6938976.4630200006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D1-43E0-B8EA-D04B75BFE212}"/>
            </c:ext>
          </c:extLst>
        </c:ser>
        <c:ser>
          <c:idx val="5"/>
          <c:order val="5"/>
          <c:tx>
            <c:strRef>
              <c:f>'Cost of Sales'!$X$5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'Cost of Sales'!$R$6:$R$8</c:f>
              <c:strCache>
                <c:ptCount val="3"/>
                <c:pt idx="0">
                  <c:v>Chargers</c:v>
                </c:pt>
                <c:pt idx="1">
                  <c:v>Installations</c:v>
                </c:pt>
                <c:pt idx="2">
                  <c:v>TOTAL COST OF SALES</c:v>
                </c:pt>
              </c:strCache>
            </c:strRef>
          </c:cat>
          <c:val>
            <c:numRef>
              <c:f>'Cost of Sales'!$X$6:$X$8</c:f>
              <c:numCache>
                <c:formatCode>_("€"* #,##0.00_);_("€"* \(#,##0.00\);_("€"* "-"??_);_(@_)</c:formatCode>
                <c:ptCount val="3"/>
                <c:pt idx="0">
                  <c:v>5658563.2377560008</c:v>
                </c:pt>
                <c:pt idx="1">
                  <c:v>5298693.628800001</c:v>
                </c:pt>
                <c:pt idx="2">
                  <c:v>10957256.866556002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D1-43E0-B8EA-D04B75BFE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543649576"/>
        <c:axId val="543643672"/>
      </c:barChart>
      <c:catAx>
        <c:axId val="543649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643672"/>
        <c:crosses val="autoZero"/>
        <c:auto val="1"/>
        <c:lblAlgn val="ctr"/>
        <c:lblOffset val="100"/>
        <c:noMultiLvlLbl val="0"/>
      </c:catAx>
      <c:valAx>
        <c:axId val="54364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649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UK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of Sales'!$T$39</c:f>
              <c:strCache>
                <c:ptCount val="1"/>
                <c:pt idx="0">
                  <c:v>2020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'Cost of Sales'!$R$40:$R$42</c:f>
              <c:strCache>
                <c:ptCount val="3"/>
                <c:pt idx="0">
                  <c:v>Chargers</c:v>
                </c:pt>
                <c:pt idx="1">
                  <c:v>Installations</c:v>
                </c:pt>
                <c:pt idx="2">
                  <c:v>TOTAL COST OF SALES</c:v>
                </c:pt>
              </c:strCache>
            </c:strRef>
          </c:cat>
          <c:val>
            <c:numRef>
              <c:f>'Cost of Sales'!$T$40:$T$42</c:f>
              <c:numCache>
                <c:formatCode>_("€"* #,##0.00_);_("€"* \(#,##0.00\);_("€"* "-"??_);_(@_)</c:formatCode>
                <c:ptCount val="3"/>
                <c:pt idx="0">
                  <c:v>168450.81072070502</c:v>
                </c:pt>
                <c:pt idx="1">
                  <c:v>155313.84776400001</c:v>
                </c:pt>
                <c:pt idx="2">
                  <c:v>323764.65848470503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8-44F2-8F65-91EF91FEB9C2}"/>
            </c:ext>
          </c:extLst>
        </c:ser>
        <c:ser>
          <c:idx val="1"/>
          <c:order val="1"/>
          <c:tx>
            <c:strRef>
              <c:f>'Cost of Sales'!$U$39</c:f>
              <c:strCache>
                <c:ptCount val="1"/>
                <c:pt idx="0">
                  <c:v>2021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'Cost of Sales'!$R$40:$R$42</c:f>
              <c:strCache>
                <c:ptCount val="3"/>
                <c:pt idx="0">
                  <c:v>Chargers</c:v>
                </c:pt>
                <c:pt idx="1">
                  <c:v>Installations</c:v>
                </c:pt>
                <c:pt idx="2">
                  <c:v>TOTAL COST OF SALES</c:v>
                </c:pt>
              </c:strCache>
            </c:strRef>
          </c:cat>
          <c:val>
            <c:numRef>
              <c:f>'Cost of Sales'!$U$40:$U$42</c:f>
              <c:numCache>
                <c:formatCode>_("€"* #,##0.00_);_("€"* \(#,##0.00\);_("€"* "-"??_);_(@_)</c:formatCode>
                <c:ptCount val="3"/>
                <c:pt idx="0">
                  <c:v>900008.25960847666</c:v>
                </c:pt>
                <c:pt idx="1">
                  <c:v>829819.37113343994</c:v>
                </c:pt>
                <c:pt idx="2">
                  <c:v>1729827.6307419166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68-44F2-8F65-91EF91FEB9C2}"/>
            </c:ext>
          </c:extLst>
        </c:ser>
        <c:ser>
          <c:idx val="2"/>
          <c:order val="2"/>
          <c:tx>
            <c:strRef>
              <c:f>'Cost of Sales'!$V$39</c:f>
              <c:strCache>
                <c:ptCount val="1"/>
                <c:pt idx="0">
                  <c:v>2022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'Cost of Sales'!$R$40:$R$42</c:f>
              <c:strCache>
                <c:ptCount val="3"/>
                <c:pt idx="0">
                  <c:v>Chargers</c:v>
                </c:pt>
                <c:pt idx="1">
                  <c:v>Installations</c:v>
                </c:pt>
                <c:pt idx="2">
                  <c:v>TOTAL COST OF SALES</c:v>
                </c:pt>
              </c:strCache>
            </c:strRef>
          </c:cat>
          <c:val>
            <c:numRef>
              <c:f>'Cost of Sales'!$V$40:$V$42</c:f>
              <c:numCache>
                <c:formatCode>_("€"* #,##0.00_);_("€"* \(#,##0.00\);_("€"* "-"??_);_(@_)</c:formatCode>
                <c:ptCount val="3"/>
                <c:pt idx="0">
                  <c:v>2250020.649021192</c:v>
                </c:pt>
                <c:pt idx="1">
                  <c:v>2074548.4278336004</c:v>
                </c:pt>
                <c:pt idx="2">
                  <c:v>4324569.0768547924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68-44F2-8F65-91EF91FEB9C2}"/>
            </c:ext>
          </c:extLst>
        </c:ser>
        <c:ser>
          <c:idx val="3"/>
          <c:order val="3"/>
          <c:tx>
            <c:strRef>
              <c:f>'Cost of Sales'!$W$39</c:f>
              <c:strCache>
                <c:ptCount val="1"/>
                <c:pt idx="0">
                  <c:v>2023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'Cost of Sales'!$R$40:$R$42</c:f>
              <c:strCache>
                <c:ptCount val="3"/>
                <c:pt idx="0">
                  <c:v>Chargers</c:v>
                </c:pt>
                <c:pt idx="1">
                  <c:v>Installations</c:v>
                </c:pt>
                <c:pt idx="2">
                  <c:v>TOTAL COST OF SALES</c:v>
                </c:pt>
              </c:strCache>
            </c:strRef>
          </c:cat>
          <c:val>
            <c:numRef>
              <c:f>'Cost of Sales'!$W$40:$W$42</c:f>
              <c:numCache>
                <c:formatCode>_("€"* #,##0.00_);_("€"* \(#,##0.00\);_("€"* "-"??_);_(@_)</c:formatCode>
                <c:ptCount val="3"/>
                <c:pt idx="0">
                  <c:v>5400049.5576508604</c:v>
                </c:pt>
                <c:pt idx="1">
                  <c:v>4978916.226800641</c:v>
                </c:pt>
                <c:pt idx="2">
                  <c:v>10378965.784451501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68-44F2-8F65-91EF91FEB9C2}"/>
            </c:ext>
          </c:extLst>
        </c:ser>
        <c:ser>
          <c:idx val="4"/>
          <c:order val="4"/>
          <c:tx>
            <c:strRef>
              <c:f>'Cost of Sales'!$X$39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chemeClr val="accent5"/>
                </a:gs>
                <a:gs pos="75000">
                  <a:schemeClr val="accent5">
                    <a:lumMod val="60000"/>
                    <a:lumOff val="40000"/>
                  </a:schemeClr>
                </a:gs>
                <a:gs pos="51000">
                  <a:schemeClr val="accent5">
                    <a:alpha val="75000"/>
                  </a:schemeClr>
                </a:gs>
                <a:gs pos="100000">
                  <a:schemeClr val="accent5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'Cost of Sales'!$R$40:$R$42</c:f>
              <c:strCache>
                <c:ptCount val="3"/>
                <c:pt idx="0">
                  <c:v>Chargers</c:v>
                </c:pt>
                <c:pt idx="1">
                  <c:v>Installations</c:v>
                </c:pt>
                <c:pt idx="2">
                  <c:v>TOTAL COST OF SALES</c:v>
                </c:pt>
              </c:strCache>
            </c:strRef>
          </c:cat>
          <c:val>
            <c:numRef>
              <c:f>'Cost of Sales'!$X$40:$X$42</c:f>
              <c:numCache>
                <c:formatCode>_("€"* #,##0.00_);_("€"* \(#,##0.00\);_("€"* "-"??_);_(@_)</c:formatCode>
                <c:ptCount val="3"/>
                <c:pt idx="0">
                  <c:v>8718529.2770012338</c:v>
                </c:pt>
                <c:pt idx="1">
                  <c:v>8038597.8735316815</c:v>
                </c:pt>
                <c:pt idx="2">
                  <c:v>16757127.150532916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68-44F2-8F65-91EF91FEB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543652200"/>
        <c:axId val="543642032"/>
      </c:barChart>
      <c:catAx>
        <c:axId val="543652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642032"/>
        <c:crosses val="autoZero"/>
        <c:auto val="1"/>
        <c:lblAlgn val="ctr"/>
        <c:lblOffset val="100"/>
        <c:noMultiLvlLbl val="0"/>
      </c:catAx>
      <c:valAx>
        <c:axId val="5436420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652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GERMANY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of Sales'!$R$74</c:f>
              <c:strCache>
                <c:ptCount val="1"/>
                <c:pt idx="0">
                  <c:v>Chargers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'Cost of Sales'!$T$73:$W$73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'Cost of Sales'!$T$74:$W$74</c:f>
              <c:numCache>
                <c:formatCode>[$€-2]\ #,##0_);\([$€-2]\ #,##0\)</c:formatCode>
                <c:ptCount val="4"/>
                <c:pt idx="0">
                  <c:v>0</c:v>
                </c:pt>
                <c:pt idx="1">
                  <c:v>273874.26589907985</c:v>
                </c:pt>
                <c:pt idx="2">
                  <c:v>1232434.1965458596</c:v>
                </c:pt>
                <c:pt idx="3">
                  <c:v>3081085.4913646486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5-4422-9580-1D7DCF5927AB}"/>
            </c:ext>
          </c:extLst>
        </c:ser>
        <c:ser>
          <c:idx val="1"/>
          <c:order val="1"/>
          <c:tx>
            <c:strRef>
              <c:f>'Cost of Sales'!$R$75</c:f>
              <c:strCache>
                <c:ptCount val="1"/>
                <c:pt idx="0">
                  <c:v>Installations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'Cost of Sales'!$T$73:$W$73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'Cost of Sales'!$T$75:$W$75</c:f>
              <c:numCache>
                <c:formatCode>[$€-2]\ #,##0_);\([$€-2]\ #,##0\)</c:formatCode>
                <c:ptCount val="4"/>
                <c:pt idx="0">
                  <c:v>0</c:v>
                </c:pt>
                <c:pt idx="1">
                  <c:v>252515.65046399995</c:v>
                </c:pt>
                <c:pt idx="2">
                  <c:v>1136320.4270879999</c:v>
                </c:pt>
                <c:pt idx="3">
                  <c:v>2840801.0677199997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05-4422-9580-1D7DCF5927AB}"/>
            </c:ext>
          </c:extLst>
        </c:ser>
        <c:ser>
          <c:idx val="2"/>
          <c:order val="2"/>
          <c:tx>
            <c:strRef>
              <c:f>'Cost of Sales'!$R$76</c:f>
              <c:strCache>
                <c:ptCount val="1"/>
                <c:pt idx="0">
                  <c:v>TOTAL COST OF SALES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'Cost of Sales'!$T$73:$W$73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'Cost of Sales'!$T$76:$W$76</c:f>
              <c:numCache>
                <c:formatCode>[$€-2]\ #,##0_);\([$€-2]\ #,##0\)</c:formatCode>
                <c:ptCount val="4"/>
                <c:pt idx="0">
                  <c:v>0</c:v>
                </c:pt>
                <c:pt idx="1">
                  <c:v>526389.9163630798</c:v>
                </c:pt>
                <c:pt idx="2">
                  <c:v>2368754.6236338597</c:v>
                </c:pt>
                <c:pt idx="3">
                  <c:v>5921886.5590846483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05-4422-9580-1D7DCF592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500649392"/>
        <c:axId val="500647424"/>
      </c:barChart>
      <c:catAx>
        <c:axId val="50064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0647424"/>
        <c:crosses val="autoZero"/>
        <c:auto val="1"/>
        <c:lblAlgn val="ctr"/>
        <c:lblOffset val="100"/>
        <c:noMultiLvlLbl val="0"/>
      </c:catAx>
      <c:valAx>
        <c:axId val="5006474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[$€-2]\ #,##0_);\([$€-2]\ 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064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FRANCE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of Sales'!$R$108</c:f>
              <c:strCache>
                <c:ptCount val="1"/>
                <c:pt idx="0">
                  <c:v>Chargers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'Cost of Sales'!$T$107:$X$107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TOTAL</c:v>
                </c:pt>
              </c:strCache>
            </c:strRef>
          </c:cat>
          <c:val>
            <c:numRef>
              <c:f>'Cost of Sales'!$T$108:$X$108</c:f>
              <c:numCache>
                <c:formatCode>[$€-2]\ #,##0_);\([$€-2]\ #,##0\)</c:formatCode>
                <c:ptCount val="5"/>
                <c:pt idx="0">
                  <c:v>0</c:v>
                </c:pt>
                <c:pt idx="1">
                  <c:v>155705.89068367195</c:v>
                </c:pt>
                <c:pt idx="2">
                  <c:v>700676.50807652366</c:v>
                </c:pt>
                <c:pt idx="3">
                  <c:v>2608073.6689515049</c:v>
                </c:pt>
                <c:pt idx="4">
                  <c:v>2608073.6689515049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1-41B3-BB76-B31D2369B9C6}"/>
            </c:ext>
          </c:extLst>
        </c:ser>
        <c:ser>
          <c:idx val="1"/>
          <c:order val="1"/>
          <c:tx>
            <c:strRef>
              <c:f>'Cost of Sales'!$R$109</c:f>
              <c:strCache>
                <c:ptCount val="1"/>
                <c:pt idx="0">
                  <c:v>Installations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'Cost of Sales'!$T$107:$X$107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TOTAL</c:v>
                </c:pt>
              </c:strCache>
            </c:strRef>
          </c:cat>
          <c:val>
            <c:numRef>
              <c:f>'Cost of Sales'!$T$109:$X$109</c:f>
              <c:numCache>
                <c:formatCode>[$€-2]\ #,##0_);\([$€-2]\ #,##0\)</c:formatCode>
                <c:ptCount val="5"/>
                <c:pt idx="0">
                  <c:v>0</c:v>
                </c:pt>
                <c:pt idx="1">
                  <c:v>143562.86501759998</c:v>
                </c:pt>
                <c:pt idx="2">
                  <c:v>646032.89257919986</c:v>
                </c:pt>
                <c:pt idx="3">
                  <c:v>2404677.9890447995</c:v>
                </c:pt>
                <c:pt idx="4">
                  <c:v>2404677.9890447995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F1-41B3-BB76-B31D2369B9C6}"/>
            </c:ext>
          </c:extLst>
        </c:ser>
        <c:ser>
          <c:idx val="2"/>
          <c:order val="2"/>
          <c:tx>
            <c:strRef>
              <c:f>'Cost of Sales'!$R$110</c:f>
              <c:strCache>
                <c:ptCount val="1"/>
                <c:pt idx="0">
                  <c:v>TOTAL COST OF SALES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'Cost of Sales'!$T$107:$X$107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TOTAL</c:v>
                </c:pt>
              </c:strCache>
            </c:strRef>
          </c:cat>
          <c:val>
            <c:numRef>
              <c:f>'Cost of Sales'!$T$110:$X$110</c:f>
              <c:numCache>
                <c:formatCode>[$€-2]\ #,##0_);\([$€-2]\ #,##0\)</c:formatCode>
                <c:ptCount val="5"/>
                <c:pt idx="0">
                  <c:v>0</c:v>
                </c:pt>
                <c:pt idx="1">
                  <c:v>299268.75570127193</c:v>
                </c:pt>
                <c:pt idx="2">
                  <c:v>1346709.4006557236</c:v>
                </c:pt>
                <c:pt idx="3">
                  <c:v>5012751.6579963043</c:v>
                </c:pt>
                <c:pt idx="4">
                  <c:v>5012751.6579963043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F1-41B3-BB76-B31D2369B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500638896"/>
        <c:axId val="500633648"/>
      </c:barChart>
      <c:catAx>
        <c:axId val="50063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0633648"/>
        <c:crosses val="autoZero"/>
        <c:auto val="1"/>
        <c:lblAlgn val="ctr"/>
        <c:lblOffset val="100"/>
        <c:noMultiLvlLbl val="0"/>
      </c:catAx>
      <c:valAx>
        <c:axId val="500633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[$€-2]\ #,##0_);\([$€-2]\ 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063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TOTAL COSTS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Ecosystem</c:v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'Cost of Sales'!#REF!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F-4FD3-9068-95D84682E6BB}"/>
            </c:ext>
          </c:extLst>
        </c:ser>
        <c:ser>
          <c:idx val="0"/>
          <c:order val="1"/>
          <c:tx>
            <c:strRef>
              <c:f>'Cost of Sales'!$B$140</c:f>
              <c:strCache>
                <c:ptCount val="1"/>
                <c:pt idx="0">
                  <c:v>Chargers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'Cost of Sales'!$C$139:$H$139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TOTAL</c:v>
                </c:pt>
              </c:strCache>
            </c:strRef>
          </c:cat>
          <c:val>
            <c:numRef>
              <c:f>'Cost of Sales'!$C$140:$H$140</c:f>
              <c:numCache>
                <c:formatCode>[$€-2]\ #,##0_);\([$€-2]\ #,##0\)</c:formatCode>
                <c:ptCount val="6"/>
                <c:pt idx="0">
                  <c:v>49701.696000000004</c:v>
                </c:pt>
                <c:pt idx="1">
                  <c:v>388885.21392070496</c:v>
                </c:pt>
                <c:pt idx="2">
                  <c:v>1860467.9372312282</c:v>
                </c:pt>
                <c:pt idx="3">
                  <c:v>5457242.2041395754</c:v>
                </c:pt>
                <c:pt idx="4">
                  <c:v>13816263.086226821</c:v>
                </c:pt>
                <c:pt idx="5">
                  <c:v>21572560.137518331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B-4EF1-BB7D-D15368EAD4E1}"/>
            </c:ext>
          </c:extLst>
        </c:ser>
        <c:ser>
          <c:idx val="1"/>
          <c:order val="2"/>
          <c:tx>
            <c:strRef>
              <c:f>'Cost of Sales'!$B$141</c:f>
              <c:strCache>
                <c:ptCount val="1"/>
                <c:pt idx="0">
                  <c:v>Installations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'Cost of Sales'!$C$139:$H$139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TOTAL</c:v>
                </c:pt>
              </c:strCache>
            </c:strRef>
          </c:cat>
          <c:val>
            <c:numRef>
              <c:f>'Cost of Sales'!$C$141:$H$141</c:f>
              <c:numCache>
                <c:formatCode>[$€-2]\ #,##0_);\([$€-2]\ #,##0\)</c:formatCode>
                <c:ptCount val="6"/>
                <c:pt idx="0">
                  <c:v>46540.800000000003</c:v>
                </c:pt>
                <c:pt idx="1">
                  <c:v>361729.20776400005</c:v>
                </c:pt>
                <c:pt idx="2">
                  <c:v>1723014.8786150401</c:v>
                </c:pt>
                <c:pt idx="3">
                  <c:v>5049982.5283008004</c:v>
                </c:pt>
                <c:pt idx="4">
                  <c:v>12790339.221968642</c:v>
                </c:pt>
                <c:pt idx="5">
                  <c:v>19971606.636648484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1B-4EF1-BB7D-D15368EAD4E1}"/>
            </c:ext>
          </c:extLst>
        </c:ser>
        <c:ser>
          <c:idx val="2"/>
          <c:order val="3"/>
          <c:tx>
            <c:strRef>
              <c:f>'Cost of Sales'!$B$142</c:f>
              <c:strCache>
                <c:ptCount val="1"/>
                <c:pt idx="0">
                  <c:v>TOTAL COST OF SALES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'Cost of Sales'!$C$139:$H$139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TOTAL</c:v>
                </c:pt>
              </c:strCache>
            </c:strRef>
          </c:cat>
          <c:val>
            <c:numRef>
              <c:f>'Cost of Sales'!$C$142:$H$142</c:f>
              <c:numCache>
                <c:formatCode>[$€-2]\ #,##0_);\([$€-2]\ #,##0\)</c:formatCode>
                <c:ptCount val="6"/>
                <c:pt idx="0">
                  <c:v>96242.496000000014</c:v>
                </c:pt>
                <c:pt idx="1">
                  <c:v>750614.42168470495</c:v>
                </c:pt>
                <c:pt idx="2">
                  <c:v>3583482.8158462681</c:v>
                </c:pt>
                <c:pt idx="3">
                  <c:v>10507224.732440375</c:v>
                </c:pt>
                <c:pt idx="4">
                  <c:v>26606602.308195464</c:v>
                </c:pt>
                <c:pt idx="5">
                  <c:v>41544166.774166808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1B-4EF1-BB7D-D15368EAD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500651688"/>
        <c:axId val="500646112"/>
      </c:barChart>
      <c:catAx>
        <c:axId val="50065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0646112"/>
        <c:crosses val="autoZero"/>
        <c:auto val="1"/>
        <c:lblAlgn val="ctr"/>
        <c:lblOffset val="100"/>
        <c:noMultiLvlLbl val="0"/>
      </c:catAx>
      <c:valAx>
        <c:axId val="5006461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0651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Installations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Graphs!$C$20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Graphs!$D$19:$H$19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Graphs!$D$20:$H$20</c:f>
              <c:numCache>
                <c:formatCode>#,##0</c:formatCode>
                <c:ptCount val="5"/>
                <c:pt idx="0">
                  <c:v>155.96</c:v>
                </c:pt>
                <c:pt idx="1">
                  <c:v>505.92000000000007</c:v>
                </c:pt>
                <c:pt idx="2">
                  <c:v>1433.4400000000005</c:v>
                </c:pt>
                <c:pt idx="3">
                  <c:v>4587.0080000000007</c:v>
                </c:pt>
                <c:pt idx="4">
                  <c:v>17201.280000000002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A-4F82-927E-6263EDD7777C}"/>
            </c:ext>
          </c:extLst>
        </c:ser>
        <c:ser>
          <c:idx val="1"/>
          <c:order val="1"/>
          <c:tx>
            <c:strRef>
              <c:f>Graphs!$C$21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Graphs!$D$19:$H$19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Graphs!$D$21:$H$21</c:f>
              <c:numCache>
                <c:formatCode>#,##0</c:formatCode>
                <c:ptCount val="5"/>
                <c:pt idx="0">
                  <c:v>0</c:v>
                </c:pt>
                <c:pt idx="1">
                  <c:v>380.67119550000001</c:v>
                </c:pt>
                <c:pt idx="2">
                  <c:v>2392.7894207999998</c:v>
                </c:pt>
                <c:pt idx="3">
                  <c:v>7975.9647360000008</c:v>
                </c:pt>
                <c:pt idx="4">
                  <c:v>25523.087155200003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BA-4F82-927E-6263EDD7777C}"/>
            </c:ext>
          </c:extLst>
        </c:ser>
        <c:ser>
          <c:idx val="2"/>
          <c:order val="2"/>
          <c:tx>
            <c:strRef>
              <c:f>Graphs!$C$22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Graphs!$D$19:$H$19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Graphs!$D$22:$H$22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728.13047999999981</c:v>
                </c:pt>
                <c:pt idx="3">
                  <c:v>4368.7828799999988</c:v>
                </c:pt>
                <c:pt idx="4">
                  <c:v>14562.609599999996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BA-4F82-927E-6263EDD7777C}"/>
            </c:ext>
          </c:extLst>
        </c:ser>
        <c:ser>
          <c:idx val="3"/>
          <c:order val="3"/>
          <c:tx>
            <c:strRef>
              <c:f>Graphs!$C$23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Graphs!$D$19:$H$19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Graphs!$D$23:$H$23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413.96443199999993</c:v>
                </c:pt>
                <c:pt idx="3">
                  <c:v>2483.7865919999995</c:v>
                </c:pt>
                <c:pt idx="4">
                  <c:v>8279.2886399999988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BA-4F82-927E-6263EDD777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97114296"/>
        <c:axId val="697114624"/>
      </c:barChart>
      <c:catAx>
        <c:axId val="697114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97114624"/>
        <c:crosses val="autoZero"/>
        <c:auto val="1"/>
        <c:lblAlgn val="ctr"/>
        <c:lblOffset val="100"/>
        <c:noMultiLvlLbl val="0"/>
      </c:catAx>
      <c:valAx>
        <c:axId val="69711462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97114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Total Revenue Per Market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Graphs!$B$38:$C$54</c15:sqref>
                  </c15:fullRef>
                </c:ext>
              </c:extLst>
              <c:f>Graphs!$B$39:$C$54</c:f>
              <c:multiLvlStrCache>
                <c:ptCount val="16"/>
                <c:lvl>
                  <c:pt idx="1">
                    <c:v>Chargers</c:v>
                  </c:pt>
                  <c:pt idx="2">
                    <c:v>Installations</c:v>
                  </c:pt>
                  <c:pt idx="3">
                    <c:v>Community</c:v>
                  </c:pt>
                  <c:pt idx="5">
                    <c:v>Chargers</c:v>
                  </c:pt>
                  <c:pt idx="6">
                    <c:v>Installations</c:v>
                  </c:pt>
                  <c:pt idx="7">
                    <c:v>Community</c:v>
                  </c:pt>
                  <c:pt idx="9">
                    <c:v>Chargers</c:v>
                  </c:pt>
                  <c:pt idx="10">
                    <c:v>Installations</c:v>
                  </c:pt>
                  <c:pt idx="11">
                    <c:v>Community</c:v>
                  </c:pt>
                  <c:pt idx="13">
                    <c:v>Chargers</c:v>
                  </c:pt>
                  <c:pt idx="14">
                    <c:v>Installations</c:v>
                  </c:pt>
                  <c:pt idx="15">
                    <c:v>Community</c:v>
                  </c:pt>
                </c:lvl>
                <c:lvl>
                  <c:pt idx="0">
                    <c:v>SPAIN</c:v>
                  </c:pt>
                  <c:pt idx="4">
                    <c:v>UK</c:v>
                  </c:pt>
                  <c:pt idx="8">
                    <c:v>GERMANY</c:v>
                  </c:pt>
                  <c:pt idx="12">
                    <c:v>FRANCE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Graphs!$D$38:$D$54</c15:sqref>
                  </c15:fullRef>
                </c:ext>
              </c:extLst>
              <c:f>Graphs!$D$39:$D$54</c:f>
              <c:numCache>
                <c:formatCode>General</c:formatCode>
                <c:ptCount val="16"/>
                <c:pt idx="1" formatCode="[$€-2]\ #,##0">
                  <c:v>59727.360000000008</c:v>
                </c:pt>
                <c:pt idx="2" formatCode="[$€-2]\ #,##0">
                  <c:v>77568.000000000015</c:v>
                </c:pt>
                <c:pt idx="3" formatCode="[$€-2]\ #,##0">
                  <c:v>0</c:v>
                </c:pt>
                <c:pt idx="5" formatCode="[$€-2]\ #,##0">
                  <c:v>0</c:v>
                </c:pt>
                <c:pt idx="6" formatCode="[$€-2]\ #,##0">
                  <c:v>0</c:v>
                </c:pt>
                <c:pt idx="7" formatCode="[$€-2]\ #,##0">
                  <c:v>0</c:v>
                </c:pt>
                <c:pt idx="9" formatCode="[$€-2]\ #,##0">
                  <c:v>0</c:v>
                </c:pt>
                <c:pt idx="10" formatCode="[$€-2]\ #,##0">
                  <c:v>0</c:v>
                </c:pt>
                <c:pt idx="11" formatCode="[$€-2]\ #,##0">
                  <c:v>0</c:v>
                </c:pt>
                <c:pt idx="13" formatCode="[$€-2]\ #,##0">
                  <c:v>0</c:v>
                </c:pt>
                <c:pt idx="14" formatCode="[$€-2]\ #,##0">
                  <c:v>0</c:v>
                </c:pt>
                <c:pt idx="15" formatCode="[$€-2]\ 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0-45AD-AE39-72C6BBEC8A4B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Graphs!$B$38:$C$54</c15:sqref>
                  </c15:fullRef>
                </c:ext>
              </c:extLst>
              <c:f>Graphs!$B$39:$C$54</c:f>
              <c:multiLvlStrCache>
                <c:ptCount val="16"/>
                <c:lvl>
                  <c:pt idx="1">
                    <c:v>Chargers</c:v>
                  </c:pt>
                  <c:pt idx="2">
                    <c:v>Installations</c:v>
                  </c:pt>
                  <c:pt idx="3">
                    <c:v>Community</c:v>
                  </c:pt>
                  <c:pt idx="5">
                    <c:v>Chargers</c:v>
                  </c:pt>
                  <c:pt idx="6">
                    <c:v>Installations</c:v>
                  </c:pt>
                  <c:pt idx="7">
                    <c:v>Community</c:v>
                  </c:pt>
                  <c:pt idx="9">
                    <c:v>Chargers</c:v>
                  </c:pt>
                  <c:pt idx="10">
                    <c:v>Installations</c:v>
                  </c:pt>
                  <c:pt idx="11">
                    <c:v>Community</c:v>
                  </c:pt>
                  <c:pt idx="13">
                    <c:v>Chargers</c:v>
                  </c:pt>
                  <c:pt idx="14">
                    <c:v>Installations</c:v>
                  </c:pt>
                  <c:pt idx="15">
                    <c:v>Community</c:v>
                  </c:pt>
                </c:lvl>
                <c:lvl>
                  <c:pt idx="0">
                    <c:v>SPAIN</c:v>
                  </c:pt>
                  <c:pt idx="4">
                    <c:v>UK</c:v>
                  </c:pt>
                  <c:pt idx="8">
                    <c:v>GERMANY</c:v>
                  </c:pt>
                  <c:pt idx="12">
                    <c:v>FRANCE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Graphs!$E$38:$E$54</c15:sqref>
                  </c15:fullRef>
                </c:ext>
              </c:extLst>
              <c:f>Graphs!$E$39:$E$54</c:f>
              <c:numCache>
                <c:formatCode>General</c:formatCode>
                <c:ptCount val="16"/>
                <c:pt idx="1" formatCode="[$€-2]\ #,##0">
                  <c:v>280482.04800000007</c:v>
                </c:pt>
                <c:pt idx="2" formatCode="[$€-2]\ #,##0">
                  <c:v>364262.40000000002</c:v>
                </c:pt>
                <c:pt idx="3" formatCode="[$€-2]\ #,##0">
                  <c:v>80947.200000000012</c:v>
                </c:pt>
                <c:pt idx="5" formatCode="[$€-2]\ #,##0">
                  <c:v>211044.11078520003</c:v>
                </c:pt>
                <c:pt idx="6" formatCode="[$€-2]\ #,##0">
                  <c:v>274083.26076000003</c:v>
                </c:pt>
                <c:pt idx="7" formatCode="[$€-2]\ #,##0">
                  <c:v>0</c:v>
                </c:pt>
                <c:pt idx="9" formatCode="[$€-2]\ #,##0">
                  <c:v>0</c:v>
                </c:pt>
                <c:pt idx="10" formatCode="[$€-2]\ #,##0">
                  <c:v>0</c:v>
                </c:pt>
                <c:pt idx="11" formatCode="[$€-2]\ #,##0">
                  <c:v>0</c:v>
                </c:pt>
                <c:pt idx="13" formatCode="[$€-2]\ #,##0">
                  <c:v>0</c:v>
                </c:pt>
                <c:pt idx="14" formatCode="[$€-2]\ #,##0">
                  <c:v>0</c:v>
                </c:pt>
                <c:pt idx="15" formatCode="[$€-2]\ 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20-45AD-AE39-72C6BBEC8A4B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Graphs!$B$38:$C$54</c15:sqref>
                  </c15:fullRef>
                </c:ext>
              </c:extLst>
              <c:f>Graphs!$B$39:$C$54</c:f>
              <c:multiLvlStrCache>
                <c:ptCount val="16"/>
                <c:lvl>
                  <c:pt idx="1">
                    <c:v>Chargers</c:v>
                  </c:pt>
                  <c:pt idx="2">
                    <c:v>Installations</c:v>
                  </c:pt>
                  <c:pt idx="3">
                    <c:v>Community</c:v>
                  </c:pt>
                  <c:pt idx="5">
                    <c:v>Chargers</c:v>
                  </c:pt>
                  <c:pt idx="6">
                    <c:v>Installations</c:v>
                  </c:pt>
                  <c:pt idx="7">
                    <c:v>Community</c:v>
                  </c:pt>
                  <c:pt idx="9">
                    <c:v>Chargers</c:v>
                  </c:pt>
                  <c:pt idx="10">
                    <c:v>Installations</c:v>
                  </c:pt>
                  <c:pt idx="11">
                    <c:v>Community</c:v>
                  </c:pt>
                  <c:pt idx="13">
                    <c:v>Chargers</c:v>
                  </c:pt>
                  <c:pt idx="14">
                    <c:v>Installations</c:v>
                  </c:pt>
                  <c:pt idx="15">
                    <c:v>Community</c:v>
                  </c:pt>
                </c:lvl>
                <c:lvl>
                  <c:pt idx="0">
                    <c:v>SPAIN</c:v>
                  </c:pt>
                  <c:pt idx="4">
                    <c:v>UK</c:v>
                  </c:pt>
                  <c:pt idx="8">
                    <c:v>GERMANY</c:v>
                  </c:pt>
                  <c:pt idx="12">
                    <c:v>FRANCE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Graphs!$F$38:$F$54</c15:sqref>
                  </c15:fullRef>
                </c:ext>
              </c:extLst>
              <c:f>Graphs!$F$39:$F$54</c:f>
              <c:numCache>
                <c:formatCode>General</c:formatCode>
                <c:ptCount val="16"/>
                <c:pt idx="1" formatCode="[$€-2]\ #,##0">
                  <c:v>715229.22240000032</c:v>
                </c:pt>
                <c:pt idx="2" formatCode="[$€-2]\ #,##0">
                  <c:v>928869.12000000034</c:v>
                </c:pt>
                <c:pt idx="3" formatCode="[$€-2]\ #,##0">
                  <c:v>597997.44000000018</c:v>
                </c:pt>
                <c:pt idx="5" formatCode="[$€-2]\ #,##0">
                  <c:v>1193906.2094023679</c:v>
                </c:pt>
                <c:pt idx="6" formatCode="[$€-2]\ #,##0">
                  <c:v>1550527.5446783998</c:v>
                </c:pt>
                <c:pt idx="7" formatCode="[$€-2]\ #,##0">
                  <c:v>219703.28651927598</c:v>
                </c:pt>
                <c:pt idx="9" formatCode="[$€-2]\ #,##0">
                  <c:v>363307.9843007999</c:v>
                </c:pt>
                <c:pt idx="10" formatCode="[$€-2]\ #,##0">
                  <c:v>471828.55103999987</c:v>
                </c:pt>
                <c:pt idx="11" formatCode="[$€-2]\ #,##0">
                  <c:v>0</c:v>
                </c:pt>
                <c:pt idx="13" formatCode="[$€-2]\ #,##0">
                  <c:v>206551.69299071998</c:v>
                </c:pt>
                <c:pt idx="14" formatCode="[$€-2]\ #,##0">
                  <c:v>268248.95193599997</c:v>
                </c:pt>
                <c:pt idx="15" formatCode="[$€-2]\ 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20-45AD-AE39-72C6BBEC8A4B}"/>
            </c:ext>
          </c:extLst>
        </c:ser>
        <c:ser>
          <c:idx val="3"/>
          <c:order val="3"/>
          <c:tx>
            <c:v>2022</c:v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Graphs!$B$38:$C$54</c15:sqref>
                  </c15:fullRef>
                </c:ext>
              </c:extLst>
              <c:f>Graphs!$B$39:$C$54</c:f>
              <c:multiLvlStrCache>
                <c:ptCount val="16"/>
                <c:lvl>
                  <c:pt idx="1">
                    <c:v>Chargers</c:v>
                  </c:pt>
                  <c:pt idx="2">
                    <c:v>Installations</c:v>
                  </c:pt>
                  <c:pt idx="3">
                    <c:v>Community</c:v>
                  </c:pt>
                  <c:pt idx="5">
                    <c:v>Chargers</c:v>
                  </c:pt>
                  <c:pt idx="6">
                    <c:v>Installations</c:v>
                  </c:pt>
                  <c:pt idx="7">
                    <c:v>Community</c:v>
                  </c:pt>
                  <c:pt idx="9">
                    <c:v>Chargers</c:v>
                  </c:pt>
                  <c:pt idx="10">
                    <c:v>Installations</c:v>
                  </c:pt>
                  <c:pt idx="11">
                    <c:v>Community</c:v>
                  </c:pt>
                  <c:pt idx="13">
                    <c:v>Chargers</c:v>
                  </c:pt>
                  <c:pt idx="14">
                    <c:v>Installations</c:v>
                  </c:pt>
                  <c:pt idx="15">
                    <c:v>Community</c:v>
                  </c:pt>
                </c:lvl>
                <c:lvl>
                  <c:pt idx="0">
                    <c:v>SPAIN</c:v>
                  </c:pt>
                  <c:pt idx="4">
                    <c:v>UK</c:v>
                  </c:pt>
                  <c:pt idx="8">
                    <c:v>GERMANY</c:v>
                  </c:pt>
                  <c:pt idx="12">
                    <c:v>FRANCE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Graphs!$G$38:$G$54</c15:sqref>
                  </c15:fullRef>
                </c:ext>
              </c:extLst>
              <c:f>Graphs!$G$39:$G$54</c:f>
              <c:numCache>
                <c:formatCode>General</c:formatCode>
                <c:ptCount val="16"/>
                <c:pt idx="1" formatCode="[$€-2]\ #,##0">
                  <c:v>1830986.8093440006</c:v>
                </c:pt>
                <c:pt idx="2" formatCode="[$€-2]\ #,##0">
                  <c:v>2377904.9472000003</c:v>
                </c:pt>
                <c:pt idx="3" formatCode="[$€-2]\ #,##0">
                  <c:v>2318125.4400000004</c:v>
                </c:pt>
                <c:pt idx="5" formatCode="[$€-2]\ #,##0">
                  <c:v>3183749.8917396488</c:v>
                </c:pt>
                <c:pt idx="6" formatCode="[$€-2]\ #,##0">
                  <c:v>4134740.1191424001</c:v>
                </c:pt>
                <c:pt idx="7" formatCode="[$€-2]\ #,##0">
                  <c:v>1658123.2300807671</c:v>
                </c:pt>
                <c:pt idx="9" formatCode="[$€-2]\ #,##0">
                  <c:v>1743878.3246438396</c:v>
                </c:pt>
                <c:pt idx="10" formatCode="[$€-2]\ #,##0">
                  <c:v>2264777.0449919994</c:v>
                </c:pt>
                <c:pt idx="11" formatCode="[$€-2]\ #,##0">
                  <c:v>746265.30476919189</c:v>
                </c:pt>
                <c:pt idx="13" formatCode="[$€-2]\ #,##0">
                  <c:v>991448.12635545596</c:v>
                </c:pt>
                <c:pt idx="14" formatCode="[$€-2]\ #,##0">
                  <c:v>1287594.9692927997</c:v>
                </c:pt>
                <c:pt idx="15" formatCode="[$€-2]\ #,##0">
                  <c:v>425619.16147002071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20-45AD-AE39-72C6BBEC8A4B}"/>
            </c:ext>
          </c:extLst>
        </c:ser>
        <c:ser>
          <c:idx val="4"/>
          <c:order val="4"/>
          <c:tx>
            <c:v>2023</c:v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Graphs!$B$38:$C$54</c15:sqref>
                  </c15:fullRef>
                </c:ext>
              </c:extLst>
              <c:f>Graphs!$B$39:$C$54</c:f>
              <c:multiLvlStrCache>
                <c:ptCount val="16"/>
                <c:lvl>
                  <c:pt idx="1">
                    <c:v>Chargers</c:v>
                  </c:pt>
                  <c:pt idx="2">
                    <c:v>Installations</c:v>
                  </c:pt>
                  <c:pt idx="3">
                    <c:v>Community</c:v>
                  </c:pt>
                  <c:pt idx="5">
                    <c:v>Chargers</c:v>
                  </c:pt>
                  <c:pt idx="6">
                    <c:v>Installations</c:v>
                  </c:pt>
                  <c:pt idx="7">
                    <c:v>Community</c:v>
                  </c:pt>
                  <c:pt idx="9">
                    <c:v>Chargers</c:v>
                  </c:pt>
                  <c:pt idx="10">
                    <c:v>Installations</c:v>
                  </c:pt>
                  <c:pt idx="11">
                    <c:v>Community</c:v>
                  </c:pt>
                  <c:pt idx="13">
                    <c:v>Chargers</c:v>
                  </c:pt>
                  <c:pt idx="14">
                    <c:v>Installations</c:v>
                  </c:pt>
                  <c:pt idx="15">
                    <c:v>Community</c:v>
                  </c:pt>
                </c:lvl>
                <c:lvl>
                  <c:pt idx="0">
                    <c:v>SPAIN</c:v>
                  </c:pt>
                  <c:pt idx="4">
                    <c:v>UK</c:v>
                  </c:pt>
                  <c:pt idx="8">
                    <c:v>GERMANY</c:v>
                  </c:pt>
                  <c:pt idx="12">
                    <c:v>FRANCE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Graphs!$H$38:$H$54</c15:sqref>
                  </c15:fullRef>
                </c:ext>
              </c:extLst>
              <c:f>Graphs!$H$39:$H$54</c:f>
              <c:numCache>
                <c:formatCode>General</c:formatCode>
                <c:ptCount val="16"/>
                <c:pt idx="1" formatCode="[$€-2]\ #,##0">
                  <c:v>5492960.4280320015</c:v>
                </c:pt>
                <c:pt idx="2" formatCode="[$€-2]\ #,##0">
                  <c:v>7133714.8416000018</c:v>
                </c:pt>
                <c:pt idx="3" formatCode="[$€-2]\ #,##0">
                  <c:v>6673320.8960000016</c:v>
                </c:pt>
                <c:pt idx="5" formatCode="[$€-2]\ #,##0">
                  <c:v>8150399.7228535004</c:v>
                </c:pt>
                <c:pt idx="6" formatCode="[$€-2]\ #,##0">
                  <c:v>10584934.705004545</c:v>
                </c:pt>
                <c:pt idx="7" formatCode="[$€-2]\ #,##0">
                  <c:v>6443702.0716807675</c:v>
                </c:pt>
                <c:pt idx="9" formatCode="[$€-2]\ #,##0">
                  <c:v>4650342.1990502393</c:v>
                </c:pt>
                <c:pt idx="10" formatCode="[$€-2]\ #,##0">
                  <c:v>6039405.4533119984</c:v>
                </c:pt>
                <c:pt idx="11" formatCode="[$€-2]\ #,##0">
                  <c:v>5998133.0770788053</c:v>
                </c:pt>
                <c:pt idx="13" formatCode="[$€-2]\ #,##0">
                  <c:v>3841861.489627392</c:v>
                </c:pt>
                <c:pt idx="14" formatCode="[$€-2]\ #,##0">
                  <c:v>4989430.5060095992</c:v>
                </c:pt>
                <c:pt idx="15" formatCode="[$€-2]\ #,##0">
                  <c:v>3411483.3113883957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20-45AD-AE39-72C6BBEC8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727765088"/>
        <c:axId val="727772632"/>
      </c:barChart>
      <c:catAx>
        <c:axId val="72776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7772632"/>
        <c:crosses val="autoZero"/>
        <c:auto val="1"/>
        <c:lblAlgn val="ctr"/>
        <c:lblOffset val="100"/>
        <c:noMultiLvlLbl val="0"/>
      </c:catAx>
      <c:valAx>
        <c:axId val="72777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77650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FRANCE</a:t>
            </a:r>
          </a:p>
          <a:p>
            <a:pPr>
              <a:defRPr/>
            </a:pPr>
            <a:r>
              <a:rPr lang="en-US"/>
              <a:t>MARKET SHARE</a:t>
            </a:r>
          </a:p>
        </c:rich>
      </c:tx>
      <c:layout>
        <c:manualLayout>
          <c:xMode val="edge"/>
          <c:yMode val="edge"/>
          <c:x val="0.3626862745098039"/>
          <c:y val="1.57480314960629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'Forecast Sold Cars'!$B$174</c:f>
              <c:strCache>
                <c:ptCount val="1"/>
                <c:pt idx="0">
                  <c:v>TOTAL CP INSTALLATION MARKET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'Forecast Sold Cars'!$C$170:$H$170</c15:sqref>
                  </c15:fullRef>
                </c:ext>
              </c:extLst>
              <c:f>'Forecast Sold Cars'!$E$170:$H$170</c:f>
              <c:strCach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TOTAL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'Forecast Sold Cars'!$C$174:$H$174</c15:sqref>
                  </c15:fullRef>
                </c:ext>
              </c:extLst>
              <c:f>'Forecast Sold Cars'!$E$174:$H$174</c:f>
              <c:numCache>
                <c:formatCode>#,##0</c:formatCode>
                <c:ptCount val="4"/>
                <c:pt idx="0">
                  <c:v>41396.443199999994</c:v>
                </c:pt>
                <c:pt idx="1">
                  <c:v>82792.886399999988</c:v>
                </c:pt>
                <c:pt idx="2">
                  <c:v>165585.77279999998</c:v>
                </c:pt>
                <c:pt idx="3">
                  <c:v>319343.99039999995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C4-4BEE-8639-35A33D36DD54}"/>
            </c:ext>
          </c:extLst>
        </c:ser>
        <c:ser>
          <c:idx val="1"/>
          <c:order val="1"/>
          <c:tx>
            <c:strRef>
              <c:f>'Forecast Sold Cars'!$B$175</c:f>
              <c:strCache>
                <c:ptCount val="1"/>
                <c:pt idx="0">
                  <c:v>CHARGICK TOTAL INSTALED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'Forecast Sold Cars'!$C$170:$H$170</c15:sqref>
                  </c15:fullRef>
                </c:ext>
              </c:extLst>
              <c:f>'Forecast Sold Cars'!$E$170:$H$170</c:f>
              <c:strCach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TOTAL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'Forecast Sold Cars'!$C$175:$H$175</c15:sqref>
                  </c15:fullRef>
                </c:ext>
              </c:extLst>
              <c:f>'Forecast Sold Cars'!$E$175:$H$175</c:f>
              <c:numCache>
                <c:formatCode>#,##0</c:formatCode>
                <c:ptCount val="4"/>
                <c:pt idx="0">
                  <c:v>413.96443199999993</c:v>
                </c:pt>
                <c:pt idx="1">
                  <c:v>2483.7865919999995</c:v>
                </c:pt>
                <c:pt idx="2">
                  <c:v>8279.2886399999988</c:v>
                </c:pt>
                <c:pt idx="3">
                  <c:v>11177.039663999998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4-4BEE-8639-35A33D36D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637440"/>
        <c:axId val="543639080"/>
      </c:lineChart>
      <c:catAx>
        <c:axId val="543637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639080"/>
        <c:crosses val="autoZero"/>
        <c:auto val="1"/>
        <c:lblAlgn val="ctr"/>
        <c:lblOffset val="100"/>
        <c:noMultiLvlLbl val="0"/>
      </c:catAx>
      <c:valAx>
        <c:axId val="54363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63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TOTAL </a:t>
            </a:r>
          </a:p>
          <a:p>
            <a:pPr>
              <a:defRPr/>
            </a:pPr>
            <a:r>
              <a:rPr lang="es-ES"/>
              <a:t>FORECAST MARKET SHARE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2342571950151308E-2"/>
          <c:y val="0.24434479987678867"/>
          <c:w val="0.88877822316939947"/>
          <c:h val="0.66321825976525739"/>
        </c:manualLayout>
      </c:layout>
      <c:lineChart>
        <c:grouping val="standard"/>
        <c:varyColors val="0"/>
        <c:ser>
          <c:idx val="0"/>
          <c:order val="0"/>
          <c:tx>
            <c:strRef>
              <c:f>'Forecast Sold Cars'!$B$200</c:f>
              <c:strCache>
                <c:ptCount val="1"/>
                <c:pt idx="0">
                  <c:v>TOTAL CP INSTALLATION MARKET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'Forecast Sold Cars'!$C$196:$H$196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TOTAL </c:v>
                </c:pt>
              </c:strCache>
            </c:strRef>
          </c:cat>
          <c:val>
            <c:numRef>
              <c:f>'Forecast Sold Cars'!$C$200:$H$200</c:f>
              <c:numCache>
                <c:formatCode>#,##0</c:formatCode>
                <c:ptCount val="6"/>
                <c:pt idx="0">
                  <c:v>115766.98000000001</c:v>
                </c:pt>
                <c:pt idx="1">
                  <c:v>148291.98759999999</c:v>
                </c:pt>
                <c:pt idx="2">
                  <c:v>222637.93856000001</c:v>
                </c:pt>
                <c:pt idx="3">
                  <c:v>445275.87712000002</c:v>
                </c:pt>
                <c:pt idx="4">
                  <c:v>890551.75424000004</c:v>
                </c:pt>
                <c:pt idx="5">
                  <c:v>1822524.5375200002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09-4A1C-A210-52FB76D21E06}"/>
            </c:ext>
          </c:extLst>
        </c:ser>
        <c:ser>
          <c:idx val="1"/>
          <c:order val="1"/>
          <c:tx>
            <c:strRef>
              <c:f>'Forecast Sold Cars'!$B$201</c:f>
              <c:strCache>
                <c:ptCount val="1"/>
                <c:pt idx="0">
                  <c:v>CHARGIC TOTAL INSTALED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'Forecast Sold Cars'!$C$196:$H$196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TOTAL </c:v>
                </c:pt>
              </c:strCache>
            </c:strRef>
          </c:cat>
          <c:val>
            <c:numRef>
              <c:f>'Forecast Sold Cars'!$C$201:$H$201</c:f>
              <c:numCache>
                <c:formatCode>#,##0</c:formatCode>
                <c:ptCount val="6"/>
                <c:pt idx="0">
                  <c:v>96.960000000000008</c:v>
                </c:pt>
                <c:pt idx="1">
                  <c:v>886.59119550000014</c:v>
                </c:pt>
                <c:pt idx="2">
                  <c:v>4968.3243327999999</c:v>
                </c:pt>
                <c:pt idx="3">
                  <c:v>19415.542207999999</c:v>
                </c:pt>
                <c:pt idx="4">
                  <c:v>65566.265395199996</c:v>
                </c:pt>
                <c:pt idx="5">
                  <c:v>90933.683131500002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09-4A1C-A210-52FB76D21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641376"/>
        <c:axId val="543631536"/>
      </c:lineChart>
      <c:catAx>
        <c:axId val="54364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631536"/>
        <c:crosses val="autoZero"/>
        <c:auto val="1"/>
        <c:lblAlgn val="ctr"/>
        <c:lblOffset val="100"/>
        <c:noMultiLvlLbl val="0"/>
      </c:catAx>
      <c:valAx>
        <c:axId val="54363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64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SPAIN </a:t>
            </a:r>
          </a:p>
          <a:p>
            <a:pPr>
              <a:defRPr/>
            </a:pPr>
            <a:r>
              <a:rPr lang="es-ES"/>
              <a:t>FORECAST MARKET SHARE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3327076683213777E-2"/>
          <c:y val="0.20748592098931842"/>
          <c:w val="0.89693144343638542"/>
          <c:h val="0.7293987111376431"/>
        </c:manualLayout>
      </c:layout>
      <c:lineChart>
        <c:grouping val="standard"/>
        <c:varyColors val="0"/>
        <c:ser>
          <c:idx val="0"/>
          <c:order val="0"/>
          <c:tx>
            <c:strRef>
              <c:f>'Forecast Sold Cars'!$B$25</c:f>
              <c:strCache>
                <c:ptCount val="1"/>
                <c:pt idx="0">
                  <c:v>TOTAL CP INSTALLATION MARKET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numRef>
              <c:f>'Forecast Sold Cars'!$C$21:$G$21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'Forecast Sold Cars'!$C$25:$G$25</c:f>
              <c:numCache>
                <c:formatCode>#,##0</c:formatCode>
                <c:ptCount val="5"/>
                <c:pt idx="0">
                  <c:v>10540.000000000002</c:v>
                </c:pt>
                <c:pt idx="1">
                  <c:v>16864.000000000004</c:v>
                </c:pt>
                <c:pt idx="2">
                  <c:v>28668.800000000007</c:v>
                </c:pt>
                <c:pt idx="3">
                  <c:v>57337.600000000013</c:v>
                </c:pt>
                <c:pt idx="4">
                  <c:v>114675.20000000003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ED-4A52-8802-C89BE047C87D}"/>
            </c:ext>
          </c:extLst>
        </c:ser>
        <c:ser>
          <c:idx val="1"/>
          <c:order val="1"/>
          <c:tx>
            <c:strRef>
              <c:f>'Forecast Sold Cars'!$B$26</c:f>
              <c:strCache>
                <c:ptCount val="1"/>
                <c:pt idx="0">
                  <c:v>CHARGICK TOTAL INSTALLED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numRef>
              <c:f>'Forecast Sold Cars'!$C$21:$G$21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'Forecast Sold Cars'!$C$26:$G$26</c:f>
              <c:numCache>
                <c:formatCode>#,##0</c:formatCode>
                <c:ptCount val="5"/>
                <c:pt idx="0">
                  <c:v>96.960000000000008</c:v>
                </c:pt>
                <c:pt idx="1">
                  <c:v>505.92000000000007</c:v>
                </c:pt>
                <c:pt idx="2">
                  <c:v>1433.4400000000005</c:v>
                </c:pt>
                <c:pt idx="3">
                  <c:v>4587.0080000000007</c:v>
                </c:pt>
                <c:pt idx="4">
                  <c:v>17201.280000000002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ED-4A52-8802-C89BE047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690184"/>
        <c:axId val="543688216"/>
      </c:lineChart>
      <c:catAx>
        <c:axId val="543690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688216"/>
        <c:crosses val="autoZero"/>
        <c:auto val="1"/>
        <c:lblAlgn val="ctr"/>
        <c:lblOffset val="100"/>
        <c:noMultiLvlLbl val="0"/>
      </c:catAx>
      <c:valAx>
        <c:axId val="543688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69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UK </a:t>
            </a:r>
          </a:p>
          <a:p>
            <a:pPr>
              <a:defRPr/>
            </a:pPr>
            <a:r>
              <a:rPr lang="es-ES"/>
              <a:t>FORECAST MARKET SHARE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9719926157555668E-2"/>
          <c:y val="0.17380603034376801"/>
          <c:w val="0.88219880647248905"/>
          <c:h val="0.75215700668995311"/>
        </c:manualLayout>
      </c:layout>
      <c:lineChart>
        <c:grouping val="standard"/>
        <c:varyColors val="0"/>
        <c:ser>
          <c:idx val="0"/>
          <c:order val="0"/>
          <c:tx>
            <c:strRef>
              <c:f>'Forecast Sold Cars'!$B$74</c:f>
              <c:strCache>
                <c:ptCount val="1"/>
                <c:pt idx="0">
                  <c:v>TOTAL CP INSTALLATION MARKET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'Forecast Sold Cars'!$C$70:$G$70</c15:sqref>
                  </c15:fullRef>
                </c:ext>
              </c:extLst>
              <c:f>'Forecast Sold Cars'!$D$70:$G$70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'Forecast Sold Cars'!$C$74:$G$74</c15:sqref>
                  </c15:fullRef>
                </c:ext>
              </c:extLst>
              <c:f>'Forecast Sold Cars'!$D$74:$G$74</c:f>
              <c:numCache>
                <c:formatCode>#,##0</c:formatCode>
                <c:ptCount val="4"/>
                <c:pt idx="0">
                  <c:v>49849.779600000002</c:v>
                </c:pt>
                <c:pt idx="1">
                  <c:v>79759.647360000003</c:v>
                </c:pt>
                <c:pt idx="2">
                  <c:v>159519.29472000001</c:v>
                </c:pt>
                <c:pt idx="3">
                  <c:v>319038.58944000001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CC-4D8D-84EF-DE6692793D37}"/>
            </c:ext>
          </c:extLst>
        </c:ser>
        <c:ser>
          <c:idx val="1"/>
          <c:order val="1"/>
          <c:tx>
            <c:strRef>
              <c:f>'Forecast Sold Cars'!$B$75</c:f>
              <c:strCache>
                <c:ptCount val="1"/>
                <c:pt idx="0">
                  <c:v>CHARGICK TOTAL INSTALED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'Forecast Sold Cars'!$C$70:$G$70</c15:sqref>
                  </c15:fullRef>
                </c:ext>
              </c:extLst>
              <c:f>'Forecast Sold Cars'!$D$70:$G$70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'Forecast Sold Cars'!$C$75:$G$75</c15:sqref>
                  </c15:fullRef>
                </c:ext>
              </c:extLst>
              <c:f>'Forecast Sold Cars'!$D$75:$G$75</c:f>
              <c:numCache>
                <c:formatCode>#,##0</c:formatCode>
                <c:ptCount val="4"/>
                <c:pt idx="0">
                  <c:v>380.67119550000001</c:v>
                </c:pt>
                <c:pt idx="1">
                  <c:v>2392.7894207999998</c:v>
                </c:pt>
                <c:pt idx="2">
                  <c:v>7975.9647360000008</c:v>
                </c:pt>
                <c:pt idx="3">
                  <c:v>25523.087155200003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CC-4D8D-84EF-DE6692793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644984"/>
        <c:axId val="543647608"/>
      </c:lineChart>
      <c:catAx>
        <c:axId val="54364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647608"/>
        <c:crosses val="autoZero"/>
        <c:auto val="1"/>
        <c:lblAlgn val="ctr"/>
        <c:lblOffset val="100"/>
        <c:noMultiLvlLbl val="0"/>
      </c:catAx>
      <c:valAx>
        <c:axId val="543647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644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GERMANY </a:t>
            </a:r>
          </a:p>
          <a:p>
            <a:pPr>
              <a:defRPr/>
            </a:pPr>
            <a:r>
              <a:rPr lang="es-ES"/>
              <a:t>FORECAST MARKET SHARE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3225379350090112E-2"/>
          <c:y val="0.2974850286046965"/>
          <c:w val="0.91677462064990989"/>
          <c:h val="0.61606176595559869"/>
        </c:manualLayout>
      </c:layout>
      <c:lineChart>
        <c:grouping val="standard"/>
        <c:varyColors val="0"/>
        <c:ser>
          <c:idx val="0"/>
          <c:order val="0"/>
          <c:tx>
            <c:strRef>
              <c:f>'Forecast Sold Cars'!$B$124</c:f>
              <c:strCache>
                <c:ptCount val="1"/>
                <c:pt idx="0">
                  <c:v>TOTAL CP INSTALLATION MARKET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'Forecast Sold Cars'!$C$120:$G$120</c15:sqref>
                  </c15:fullRef>
                </c:ext>
              </c:extLst>
              <c:f>'Forecast Sold Cars'!$E$120:$G$120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'Forecast Sold Cars'!$C$124:$G$124</c15:sqref>
                  </c15:fullRef>
                </c:ext>
              </c:extLst>
              <c:f>'Forecast Sold Cars'!$E$124:$G$124</c:f>
              <c:numCache>
                <c:formatCode>#,##0</c:formatCode>
                <c:ptCount val="3"/>
                <c:pt idx="0">
                  <c:v>72813.047999999981</c:v>
                </c:pt>
                <c:pt idx="1">
                  <c:v>145626.09599999996</c:v>
                </c:pt>
                <c:pt idx="2">
                  <c:v>291252.19199999992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0C-4B5B-8CFD-9B764FBBF1A4}"/>
            </c:ext>
          </c:extLst>
        </c:ser>
        <c:ser>
          <c:idx val="1"/>
          <c:order val="1"/>
          <c:tx>
            <c:strRef>
              <c:f>'Forecast Sold Cars'!$B$125</c:f>
              <c:strCache>
                <c:ptCount val="1"/>
                <c:pt idx="0">
                  <c:v>CHARGICK TOTAL INSTALED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'Forecast Sold Cars'!$C$120:$G$120</c15:sqref>
                  </c15:fullRef>
                </c:ext>
              </c:extLst>
              <c:f>'Forecast Sold Cars'!$E$120:$G$120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'Forecast Sold Cars'!$C$125:$G$125</c15:sqref>
                  </c15:fullRef>
                </c:ext>
              </c:extLst>
              <c:f>'Forecast Sold Cars'!$E$125:$G$125</c:f>
              <c:numCache>
                <c:formatCode>#,##0</c:formatCode>
                <c:ptCount val="3"/>
                <c:pt idx="0">
                  <c:v>728.13047999999981</c:v>
                </c:pt>
                <c:pt idx="1">
                  <c:v>4368.7828799999988</c:v>
                </c:pt>
                <c:pt idx="2">
                  <c:v>14562.609599999996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0C-4B5B-8CFD-9B764FBBF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393344"/>
        <c:axId val="548394000"/>
      </c:lineChart>
      <c:catAx>
        <c:axId val="54839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8394000"/>
        <c:crosses val="autoZero"/>
        <c:auto val="1"/>
        <c:lblAlgn val="ctr"/>
        <c:lblOffset val="100"/>
        <c:noMultiLvlLbl val="0"/>
      </c:catAx>
      <c:valAx>
        <c:axId val="54839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83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TOTAL </a:t>
            </a:r>
          </a:p>
          <a:p>
            <a:pPr>
              <a:defRPr/>
            </a:pPr>
            <a:r>
              <a:rPr lang="es-ES"/>
              <a:t>FORECAST MARKET SHARE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2342571950151308E-2"/>
          <c:y val="0.24434479987678867"/>
          <c:w val="0.88877822316939947"/>
          <c:h val="0.66321825976525739"/>
        </c:manualLayout>
      </c:layout>
      <c:lineChart>
        <c:grouping val="standard"/>
        <c:varyColors val="0"/>
        <c:ser>
          <c:idx val="0"/>
          <c:order val="0"/>
          <c:tx>
            <c:strRef>
              <c:f>'Forecast Users'!$B$95</c:f>
              <c:strCache>
                <c:ptCount val="1"/>
                <c:pt idx="0">
                  <c:v>ACUMULATED ECOSYSTEM USERS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numRef>
              <c:f>'Forecast Users'!$C$92:$H$92</c:f>
              <c:numCache>
                <c:formatCode>#,##0</c:formatCode>
                <c:ptCount val="6"/>
                <c:pt idx="0">
                  <c:v>192890.72</c:v>
                </c:pt>
                <c:pt idx="1">
                  <c:v>246734.19559999998</c:v>
                </c:pt>
                <c:pt idx="2">
                  <c:v>365516.22976000002</c:v>
                </c:pt>
                <c:pt idx="3">
                  <c:v>731032.45951999992</c:v>
                </c:pt>
                <c:pt idx="4">
                  <c:v>1462064.9190399998</c:v>
                </c:pt>
                <c:pt idx="5">
                  <c:v>2998238.5239199996</c:v>
                </c:pt>
              </c:numCache>
            </c:numRef>
          </c:cat>
          <c:val>
            <c:numRef>
              <c:f>'Forecast Users'!$C$95:$H$95</c:f>
              <c:numCache>
                <c:formatCode>#,##0</c:formatCode>
                <c:ptCount val="6"/>
                <c:pt idx="0">
                  <c:v>0</c:v>
                </c:pt>
                <c:pt idx="1">
                  <c:v>1404.6196229899442</c:v>
                </c:pt>
                <c:pt idx="2">
                  <c:v>10438.948063702239</c:v>
                </c:pt>
                <c:pt idx="3">
                  <c:v>56253.401673332017</c:v>
                </c:pt>
                <c:pt idx="4">
                  <c:v>235721.5228819988</c:v>
                </c:pt>
                <c:pt idx="5">
                  <c:v>235721.5228819988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A-4FC4-8787-7ED8A788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641376"/>
        <c:axId val="543631536"/>
      </c:lineChart>
      <c:catAx>
        <c:axId val="54364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631536"/>
        <c:crosses val="autoZero"/>
        <c:auto val="1"/>
        <c:lblAlgn val="ctr"/>
        <c:lblOffset val="100"/>
        <c:noMultiLvlLbl val="0"/>
      </c:catAx>
      <c:valAx>
        <c:axId val="54363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64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158750</xdr:colOff>
      <xdr:row>0</xdr:row>
      <xdr:rowOff>57150</xdr:rowOff>
    </xdr:from>
    <xdr:to>
      <xdr:col>13</xdr:col>
      <xdr:colOff>518551</xdr:colOff>
      <xdr:row>2</xdr:row>
      <xdr:rowOff>152186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C063724-06F3-4710-A2A4-77F307D8E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64350" y="57150"/>
          <a:ext cx="1579001" cy="46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177800</xdr:rowOff>
    </xdr:from>
    <xdr:to>
      <xdr:col>17</xdr:col>
      <xdr:colOff>238125</xdr:colOff>
      <xdr:row>16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CFB33C-401F-4AAB-93FA-1A0A6161FF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498474</xdr:colOff>
      <xdr:row>18</xdr:row>
      <xdr:rowOff>19050</xdr:rowOff>
    </xdr:from>
    <xdr:to>
      <xdr:col>17</xdr:col>
      <xdr:colOff>374649</xdr:colOff>
      <xdr:row>34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3E48CF-077C-4CE7-B02C-FFDA498A92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139700</xdr:colOff>
      <xdr:row>37</xdr:row>
      <xdr:rowOff>12700</xdr:rowOff>
    </xdr:from>
    <xdr:to>
      <xdr:col>26</xdr:col>
      <xdr:colOff>184150</xdr:colOff>
      <xdr:row>58</xdr:row>
      <xdr:rowOff>25400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8C65E3E-041B-4057-8813-EE88C0375B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120650</xdr:colOff>
      <xdr:row>0</xdr:row>
      <xdr:rowOff>44450</xdr:rowOff>
    </xdr:from>
    <xdr:to>
      <xdr:col>10</xdr:col>
      <xdr:colOff>372501</xdr:colOff>
      <xdr:row>2</xdr:row>
      <xdr:rowOff>139486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BE4F78-4E49-4E34-AE67-6D7F3A56D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1800" y="44450"/>
          <a:ext cx="1579001" cy="46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370418</xdr:colOff>
      <xdr:row>168</xdr:row>
      <xdr:rowOff>169334</xdr:rowOff>
    </xdr:from>
    <xdr:to>
      <xdr:col>15</xdr:col>
      <xdr:colOff>105835</xdr:colOff>
      <xdr:row>189</xdr:row>
      <xdr:rowOff>63500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1BC49E2-F6C5-4D4C-9B18-C9D236D394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377975</xdr:colOff>
      <xdr:row>192</xdr:row>
      <xdr:rowOff>94947</xdr:rowOff>
    </xdr:from>
    <xdr:to>
      <xdr:col>15</xdr:col>
      <xdr:colOff>232834</xdr:colOff>
      <xdr:row>210</xdr:row>
      <xdr:rowOff>31750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FF9F96A-CCC9-4C44-AA23-6D72104A9A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403679</xdr:colOff>
      <xdr:row>17</xdr:row>
      <xdr:rowOff>95249</xdr:rowOff>
    </xdr:from>
    <xdr:to>
      <xdr:col>15</xdr:col>
      <xdr:colOff>95251</xdr:colOff>
      <xdr:row>37</xdr:row>
      <xdr:rowOff>158749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126722D-DB10-471C-BE3A-5B14BA2792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285750</xdr:colOff>
      <xdr:row>67</xdr:row>
      <xdr:rowOff>126999</xdr:rowOff>
    </xdr:from>
    <xdr:to>
      <xdr:col>15</xdr:col>
      <xdr:colOff>211666</xdr:colOff>
      <xdr:row>87</xdr:row>
      <xdr:rowOff>52916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4FC4F23A-1912-416C-AD95-77BA7FD566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296334</xdr:colOff>
      <xdr:row>118</xdr:row>
      <xdr:rowOff>74084</xdr:rowOff>
    </xdr:from>
    <xdr:to>
      <xdr:col>14</xdr:col>
      <xdr:colOff>931333</xdr:colOff>
      <xdr:row>136</xdr:row>
      <xdr:rowOff>105833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CAE83D0A-C92F-47BE-BC80-76321DD84E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377975</xdr:colOff>
      <xdr:row>88</xdr:row>
      <xdr:rowOff>94947</xdr:rowOff>
    </xdr:from>
    <xdr:to>
      <xdr:col>15</xdr:col>
      <xdr:colOff>232834</xdr:colOff>
      <xdr:row>105</xdr:row>
      <xdr:rowOff>31750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4886297-F692-4322-835F-783A3861D6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254001</xdr:colOff>
      <xdr:row>3</xdr:row>
      <xdr:rowOff>145144</xdr:rowOff>
    </xdr:from>
    <xdr:to>
      <xdr:col>31</xdr:col>
      <xdr:colOff>716643</xdr:colOff>
      <xdr:row>37</xdr:row>
      <xdr:rowOff>18143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6B7A9BD-CDA5-4317-B3B4-E5BFBBD46D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322035</xdr:colOff>
      <xdr:row>51</xdr:row>
      <xdr:rowOff>2720</xdr:rowOff>
    </xdr:from>
    <xdr:to>
      <xdr:col>31</xdr:col>
      <xdr:colOff>716643</xdr:colOff>
      <xdr:row>77</xdr:row>
      <xdr:rowOff>27214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C6614E6-9A89-4610-81FB-E733598229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322035</xdr:colOff>
      <xdr:row>93</xdr:row>
      <xdr:rowOff>75291</xdr:rowOff>
    </xdr:from>
    <xdr:to>
      <xdr:col>31</xdr:col>
      <xdr:colOff>653142</xdr:colOff>
      <xdr:row>119</xdr:row>
      <xdr:rowOff>136070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F97B0BF-B18F-4ECE-B3B2-2526384B3C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322035</xdr:colOff>
      <xdr:row>136</xdr:row>
      <xdr:rowOff>54429</xdr:rowOff>
    </xdr:from>
    <xdr:to>
      <xdr:col>31</xdr:col>
      <xdr:colOff>707572</xdr:colOff>
      <xdr:row>162</xdr:row>
      <xdr:rowOff>90715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DCE3A79-189A-40AA-87C4-C795F524F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703035</xdr:colOff>
      <xdr:row>177</xdr:row>
      <xdr:rowOff>147864</xdr:rowOff>
    </xdr:from>
    <xdr:to>
      <xdr:col>16</xdr:col>
      <xdr:colOff>560916</xdr:colOff>
      <xdr:row>206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5BD83B1-91D9-47AC-9093-52FE651510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254001</xdr:colOff>
      <xdr:row>3</xdr:row>
      <xdr:rowOff>145144</xdr:rowOff>
    </xdr:from>
    <xdr:to>
      <xdr:col>31</xdr:col>
      <xdr:colOff>716643</xdr:colOff>
      <xdr:row>29</xdr:row>
      <xdr:rowOff>18143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6CCE5AD-0CF2-4C65-BAA9-F854DA3A4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322035</xdr:colOff>
      <xdr:row>38</xdr:row>
      <xdr:rowOff>2720</xdr:rowOff>
    </xdr:from>
    <xdr:to>
      <xdr:col>31</xdr:col>
      <xdr:colOff>716643</xdr:colOff>
      <xdr:row>63</xdr:row>
      <xdr:rowOff>27214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826E736-201F-4143-9CB7-C025A84D0B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322035</xdr:colOff>
      <xdr:row>71</xdr:row>
      <xdr:rowOff>75291</xdr:rowOff>
    </xdr:from>
    <xdr:to>
      <xdr:col>31</xdr:col>
      <xdr:colOff>653142</xdr:colOff>
      <xdr:row>96</xdr:row>
      <xdr:rowOff>136070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6671C26-35A8-4478-8805-C3D57EB70B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322035</xdr:colOff>
      <xdr:row>105</xdr:row>
      <xdr:rowOff>54429</xdr:rowOff>
    </xdr:from>
    <xdr:to>
      <xdr:col>31</xdr:col>
      <xdr:colOff>707572</xdr:colOff>
      <xdr:row>130</xdr:row>
      <xdr:rowOff>90715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F9A62AD-38CA-4FA0-A567-176EA5AD3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703035</xdr:colOff>
      <xdr:row>137</xdr:row>
      <xdr:rowOff>147864</xdr:rowOff>
    </xdr:from>
    <xdr:to>
      <xdr:col>15</xdr:col>
      <xdr:colOff>326571</xdr:colOff>
      <xdr:row>160</xdr:row>
      <xdr:rowOff>18143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D0CF7BA-3504-406B-9686-A732756D2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05C61-F945-4175-B925-6C56CFA10487}">
  <dimension ref="B1:N17"/>
  <sheetViews>
    <sheetView topLeftCell="A6" workbookViewId="0">
      <selection activeCell="B20" sqref="B20"/>
    </sheetView>
  </sheetViews>
  <sheetFormatPr baseColWidth="10" defaultColWidth="8.7265625" defaultRowHeight="14.5" x14ac:dyDescent="0.35"/>
  <cols>
    <col min="2" max="2" width="10.453125" bestFit="1" customWidth="1"/>
    <col min="3" max="3" width="13.453125" customWidth="1"/>
  </cols>
  <sheetData>
    <row r="1" spans="2:14" x14ac:dyDescent="0.35">
      <c r="L1" s="424"/>
      <c r="M1" s="424"/>
      <c r="N1" s="424"/>
    </row>
    <row r="2" spans="2:14" x14ac:dyDescent="0.35">
      <c r="B2" s="125" t="s">
        <v>97</v>
      </c>
      <c r="C2" t="s">
        <v>98</v>
      </c>
      <c r="L2" s="424"/>
      <c r="M2" s="424"/>
      <c r="N2" s="424"/>
    </row>
    <row r="3" spans="2:14" x14ac:dyDescent="0.35">
      <c r="B3" s="125" t="s">
        <v>99</v>
      </c>
      <c r="C3" t="s">
        <v>100</v>
      </c>
      <c r="L3" s="424"/>
      <c r="M3" s="424"/>
      <c r="N3" s="424"/>
    </row>
    <row r="4" spans="2:14" x14ac:dyDescent="0.35">
      <c r="B4" s="125"/>
    </row>
    <row r="6" spans="2:14" x14ac:dyDescent="0.35">
      <c r="B6" s="423" t="s">
        <v>256</v>
      </c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</row>
    <row r="7" spans="2:14" x14ac:dyDescent="0.35"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</row>
    <row r="8" spans="2:14" x14ac:dyDescent="0.35"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</row>
    <row r="9" spans="2:14" x14ac:dyDescent="0.35"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</row>
    <row r="10" spans="2:14" x14ac:dyDescent="0.35"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</row>
    <row r="11" spans="2:14" x14ac:dyDescent="0.35"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</row>
    <row r="12" spans="2:14" x14ac:dyDescent="0.35"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</row>
    <row r="13" spans="2:14" x14ac:dyDescent="0.35"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</row>
    <row r="14" spans="2:14" x14ac:dyDescent="0.35"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</row>
    <row r="15" spans="2:14" x14ac:dyDescent="0.35"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</row>
    <row r="16" spans="2:14" x14ac:dyDescent="0.35"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</row>
    <row r="17" spans="2:14" x14ac:dyDescent="0.35"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</row>
  </sheetData>
  <mergeCells count="2">
    <mergeCell ref="B6:N17"/>
    <mergeCell ref="L1:N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2419B-88BE-41EA-9C32-8539CE85E816}">
  <dimension ref="A1:AA50"/>
  <sheetViews>
    <sheetView showGridLines="0" zoomScale="70" zoomScaleNormal="70" workbookViewId="0">
      <selection activeCell="C4" sqref="C4"/>
    </sheetView>
  </sheetViews>
  <sheetFormatPr baseColWidth="10" defaultColWidth="14.6328125" defaultRowHeight="14" customHeight="1" x14ac:dyDescent="0.3"/>
  <cols>
    <col min="1" max="1" width="14.6328125" style="3"/>
    <col min="2" max="2" width="25" style="3" bestFit="1" customWidth="1"/>
    <col min="3" max="9" width="14.6328125" style="8"/>
    <col min="10" max="16384" width="14.6328125" style="3"/>
  </cols>
  <sheetData>
    <row r="1" spans="1:27" s="8" customFormat="1" ht="14" customHeight="1" x14ac:dyDescent="0.3">
      <c r="A1" s="3"/>
      <c r="B1" s="7" t="s">
        <v>52</v>
      </c>
      <c r="D1" s="117"/>
      <c r="E1" s="117"/>
      <c r="F1" s="117"/>
      <c r="G1" s="11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8" customFormat="1" ht="14" customHeight="1" x14ac:dyDescent="0.3">
      <c r="A2" s="3"/>
      <c r="B2" s="12"/>
      <c r="C2" s="82">
        <v>2019</v>
      </c>
      <c r="D2" s="82">
        <v>2020</v>
      </c>
      <c r="E2" s="82">
        <v>2021</v>
      </c>
      <c r="F2" s="82">
        <v>2022</v>
      </c>
      <c r="G2" s="82">
        <v>2023</v>
      </c>
      <c r="H2" s="82" t="s">
        <v>16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8" customFormat="1" ht="14" customHeight="1" x14ac:dyDescent="0.3">
      <c r="A3" s="3"/>
      <c r="B3" s="10" t="s">
        <v>152</v>
      </c>
      <c r="C3" s="16">
        <f>'Forecast Sold Cars'!C26</f>
        <v>96.960000000000008</v>
      </c>
      <c r="D3" s="16">
        <f>'Forecast Sold Cars'!D26</f>
        <v>505.92000000000007</v>
      </c>
      <c r="E3" s="16">
        <f>'Forecast Sold Cars'!E26</f>
        <v>1433.4400000000005</v>
      </c>
      <c r="F3" s="16">
        <f>'Forecast Sold Cars'!F26</f>
        <v>4587.0080000000007</v>
      </c>
      <c r="G3" s="16">
        <f>'Forecast Sold Cars'!G26</f>
        <v>17201.280000000002</v>
      </c>
      <c r="H3" s="172">
        <f>SUM(C3:G3)</f>
        <v>23824.608000000004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8" customFormat="1" ht="14" customHeight="1" x14ac:dyDescent="0.3">
      <c r="A4" s="3"/>
      <c r="B4" s="10" t="s">
        <v>195</v>
      </c>
      <c r="C4" s="177">
        <f>(C3/Assumptions!E122/Assumptions!E128)*Assumptions!E115</f>
        <v>4783.3599999999997</v>
      </c>
      <c r="D4" s="177">
        <f>(D3/Assumptions!F122/Assumptions!F128)*Assumptions!F115</f>
        <v>24958.720000000005</v>
      </c>
      <c r="E4" s="177">
        <f>(E3/Assumptions!G122/Assumptions!G128)*Assumptions!G115</f>
        <v>70716.373333333351</v>
      </c>
      <c r="F4" s="177">
        <f>(F3/Assumptions!H122/Assumptions!H128)*Assumptions!H115</f>
        <v>226292.39466666669</v>
      </c>
      <c r="G4" s="177">
        <f>(G3/Assumptions!I122/Assumptions!I128)*Assumptions!I115</f>
        <v>848596.48000000021</v>
      </c>
      <c r="H4" s="178">
        <f>SUM(C4:G4)</f>
        <v>1175347.3280000002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8" customFormat="1" ht="17" customHeight="1" x14ac:dyDescent="0.3">
      <c r="A5" s="3"/>
      <c r="B5" s="3"/>
      <c r="C5" s="43"/>
      <c r="D5" s="43"/>
      <c r="E5" s="43"/>
      <c r="F5" s="43"/>
      <c r="G5" s="4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8" customFormat="1" ht="17" customHeight="1" x14ac:dyDescent="0.3">
      <c r="A6" s="3"/>
      <c r="B6" s="3"/>
      <c r="C6" s="43"/>
      <c r="D6" s="43"/>
      <c r="E6" s="43"/>
      <c r="F6" s="43"/>
      <c r="G6" s="4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8" customFormat="1" ht="17" customHeight="1" x14ac:dyDescent="0.3">
      <c r="A7" s="3"/>
      <c r="B7" s="7" t="s">
        <v>53</v>
      </c>
      <c r="C7" s="43"/>
      <c r="D7" s="43"/>
      <c r="E7" s="43"/>
      <c r="F7" s="43"/>
      <c r="G7" s="4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8" customFormat="1" ht="14" customHeight="1" x14ac:dyDescent="0.3">
      <c r="A8" s="3"/>
      <c r="B8" s="10" t="s">
        <v>152</v>
      </c>
      <c r="D8" s="16">
        <f>'Forecast Sold Cars'!D75</f>
        <v>380.67119550000001</v>
      </c>
      <c r="E8" s="16">
        <f>'Forecast Sold Cars'!E75</f>
        <v>2392.7894207999998</v>
      </c>
      <c r="F8" s="16">
        <f>'Forecast Sold Cars'!F75</f>
        <v>7975.9647360000008</v>
      </c>
      <c r="G8" s="16">
        <f>'Forecast Sold Cars'!G75</f>
        <v>25523.087155200003</v>
      </c>
      <c r="H8" s="16">
        <f>SUM(D8:G8)</f>
        <v>36272.512507500003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8" customFormat="1" ht="14" customHeight="1" x14ac:dyDescent="0.3">
      <c r="A9" s="3"/>
      <c r="B9" s="10" t="s">
        <v>195</v>
      </c>
      <c r="D9" s="189">
        <f>(D8/Assumptions!E123/Assumptions!F129)*Assumptions!F116</f>
        <v>18779.778977999998</v>
      </c>
      <c r="E9" s="189">
        <f>(E8/Assumptions!F123/Assumptions!G129)*Assumptions!G116</f>
        <v>118044.2780928</v>
      </c>
      <c r="F9" s="189">
        <f>(F8/Assumptions!G123/Assumptions!H129)*Assumptions!H116</f>
        <v>393480.92697600008</v>
      </c>
      <c r="G9" s="189">
        <f>(G8/Assumptions!H123/Assumptions!I129)*Assumptions!I116</f>
        <v>1259138.9663232001</v>
      </c>
      <c r="H9" s="190">
        <f>SUM(D9:G9)</f>
        <v>1789443.9503700002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8" customFormat="1" ht="14" customHeight="1" x14ac:dyDescent="0.3">
      <c r="A10" s="3"/>
      <c r="B10" s="3"/>
      <c r="C10" s="43"/>
      <c r="D10" s="43"/>
      <c r="E10" s="43"/>
      <c r="F10" s="43"/>
      <c r="G10" s="43"/>
      <c r="H10" s="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8" customFormat="1" ht="14" customHeight="1" x14ac:dyDescent="0.3">
      <c r="A11" s="3"/>
      <c r="B11" s="7"/>
      <c r="C11" s="44"/>
      <c r="D11" s="44"/>
      <c r="E11" s="44"/>
      <c r="F11" s="44"/>
      <c r="G11" s="44"/>
      <c r="H11" s="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3" spans="1:27" ht="14" customHeight="1" x14ac:dyDescent="0.3">
      <c r="B13" s="7" t="s">
        <v>55</v>
      </c>
    </row>
    <row r="14" spans="1:27" s="8" customFormat="1" ht="14" customHeight="1" x14ac:dyDescent="0.3">
      <c r="A14" s="3"/>
      <c r="B14" s="10" t="s">
        <v>152</v>
      </c>
      <c r="D14" s="16">
        <f>'Forecast Sold Cars'!D125</f>
        <v>0</v>
      </c>
      <c r="E14" s="16">
        <f>'Forecast Sold Cars'!E125</f>
        <v>728.13047999999981</v>
      </c>
      <c r="F14" s="16">
        <f>'Forecast Sold Cars'!F125</f>
        <v>4368.7828799999988</v>
      </c>
      <c r="G14" s="16">
        <f>'Forecast Sold Cars'!G125</f>
        <v>14562.609599999996</v>
      </c>
      <c r="H14" s="16">
        <f>SUM(D14:G14)</f>
        <v>19659.522959999995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8" customFormat="1" ht="14" customHeight="1" x14ac:dyDescent="0.3">
      <c r="A15" s="3"/>
      <c r="B15" s="10" t="s">
        <v>195</v>
      </c>
      <c r="D15" s="196">
        <f>((D14/Assumptions!F124)/Assumptions!F130)*Assumptions!F117</f>
        <v>0</v>
      </c>
      <c r="E15" s="196">
        <f>((E14/Assumptions!G124)/Assumptions!G130)*Assumptions!G117</f>
        <v>35921.103679999993</v>
      </c>
      <c r="F15" s="196">
        <f>((F14/Assumptions!H124)/Assumptions!H130)*Assumptions!H117</f>
        <v>215526.62207999994</v>
      </c>
      <c r="G15" s="196">
        <f>((G14/Assumptions!I124)/Assumptions!I130)*Assumptions!I117</f>
        <v>718422.07359999989</v>
      </c>
      <c r="H15" s="197">
        <f>SUM(D15:G15)</f>
        <v>969869.79935999983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8" customFormat="1" ht="14" customHeight="1" x14ac:dyDescent="0.3">
      <c r="A16" s="3"/>
      <c r="B16" s="3"/>
      <c r="C16" s="43"/>
      <c r="D16" s="43"/>
      <c r="E16" s="43"/>
      <c r="F16" s="43"/>
      <c r="G16" s="10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8" customFormat="1" ht="14" customHeight="1" x14ac:dyDescent="0.3">
      <c r="A17" s="3"/>
      <c r="B17" s="7"/>
      <c r="C17" s="44"/>
      <c r="D17" s="44"/>
      <c r="E17" s="44"/>
      <c r="F17" s="44"/>
      <c r="G17" s="10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9" spans="1:27" ht="14" customHeight="1" x14ac:dyDescent="0.3">
      <c r="B19" s="7" t="s">
        <v>54</v>
      </c>
    </row>
    <row r="20" spans="1:27" s="7" customFormat="1" ht="14" customHeight="1" x14ac:dyDescent="0.3">
      <c r="B20" s="10" t="s">
        <v>152</v>
      </c>
      <c r="D20" s="16">
        <f>'Forecast Sold Cars'!D175</f>
        <v>0</v>
      </c>
      <c r="E20" s="16">
        <f>'Forecast Sold Cars'!E175</f>
        <v>413.96443199999993</v>
      </c>
      <c r="F20" s="16">
        <f>'Forecast Sold Cars'!F175</f>
        <v>2483.7865919999995</v>
      </c>
      <c r="G20" s="16">
        <f>'Forecast Sold Cars'!G175</f>
        <v>8279.2886399999988</v>
      </c>
      <c r="H20" s="16">
        <f>SUM(D20:G20)</f>
        <v>11177.039663999998</v>
      </c>
      <c r="I20" s="10"/>
      <c r="J20" s="10"/>
    </row>
    <row r="21" spans="1:27" s="7" customFormat="1" ht="14" customHeight="1" x14ac:dyDescent="0.3">
      <c r="B21" s="10" t="s">
        <v>195</v>
      </c>
      <c r="D21" s="204">
        <f>(D20/Assumptions!F125/Assumptions!F131)*Assumptions!F118</f>
        <v>0</v>
      </c>
      <c r="E21" s="204">
        <f>(E20/Assumptions!G125/Assumptions!G131)*Assumptions!G118</f>
        <v>20422.245311999999</v>
      </c>
      <c r="F21" s="204">
        <f>(F20/Assumptions!H125/Assumptions!H131)*Assumptions!H118</f>
        <v>122533.47187199997</v>
      </c>
      <c r="G21" s="204">
        <f>(G20/Assumptions!I125/Assumptions!I131)*Assumptions!I118</f>
        <v>408444.90623999998</v>
      </c>
      <c r="H21" s="205">
        <f>SUM(D21:G21)</f>
        <v>551400.62342399987</v>
      </c>
      <c r="I21" s="10"/>
      <c r="J21" s="10"/>
    </row>
    <row r="22" spans="1:27" ht="14" customHeight="1" x14ac:dyDescent="0.3">
      <c r="C22" s="43"/>
      <c r="D22" s="43"/>
      <c r="E22" s="43"/>
      <c r="F22" s="43"/>
    </row>
    <row r="23" spans="1:27" ht="14" customHeight="1" x14ac:dyDescent="0.3">
      <c r="B23" s="7"/>
      <c r="C23" s="44"/>
      <c r="D23" s="44"/>
      <c r="E23" s="44"/>
      <c r="F23" s="44"/>
    </row>
    <row r="24" spans="1:27" ht="14" customHeight="1" x14ac:dyDescent="0.3">
      <c r="B24" s="242" t="s">
        <v>195</v>
      </c>
      <c r="C24" s="243">
        <f>SUM(C4)</f>
        <v>4783.3599999999997</v>
      </c>
      <c r="D24" s="243">
        <f t="shared" ref="D24:H24" si="0">D4+D9+D15+D21</f>
        <v>43738.498978000003</v>
      </c>
      <c r="E24" s="243">
        <f t="shared" si="0"/>
        <v>245104.00041813334</v>
      </c>
      <c r="F24" s="243">
        <f t="shared" si="0"/>
        <v>957833.41559466673</v>
      </c>
      <c r="G24" s="243">
        <f t="shared" si="0"/>
        <v>3234602.4261631998</v>
      </c>
      <c r="H24" s="243">
        <f t="shared" si="0"/>
        <v>4486061.7011540001</v>
      </c>
    </row>
    <row r="26" spans="1:27" ht="20" customHeight="1" x14ac:dyDescent="0.3"/>
    <row r="32" spans="1:27" s="7" customFormat="1" ht="14" customHeight="1" x14ac:dyDescent="0.3">
      <c r="C32" s="10"/>
      <c r="D32" s="10"/>
      <c r="E32" s="10"/>
      <c r="F32" s="10"/>
      <c r="G32" s="10"/>
      <c r="H32" s="10"/>
      <c r="I32" s="10"/>
    </row>
    <row r="50" spans="3:9" s="7" customFormat="1" ht="14" customHeight="1" x14ac:dyDescent="0.3">
      <c r="C50" s="10"/>
      <c r="D50" s="10"/>
      <c r="E50" s="10"/>
      <c r="F50" s="10"/>
      <c r="G50" s="10"/>
      <c r="H50" s="10"/>
      <c r="I50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BAEF0-B252-44DD-939A-460D8A646BB7}">
  <dimension ref="B3:O93"/>
  <sheetViews>
    <sheetView showGridLines="0" zoomScale="70" zoomScaleNormal="70" workbookViewId="0">
      <selection activeCell="L22" sqref="L22"/>
    </sheetView>
  </sheetViews>
  <sheetFormatPr baseColWidth="10" defaultColWidth="14.6328125" defaultRowHeight="14" customHeight="1" x14ac:dyDescent="0.35"/>
  <cols>
    <col min="1" max="1" width="14.6328125" customWidth="1"/>
    <col min="2" max="2" width="29.1796875" customWidth="1"/>
  </cols>
  <sheetData>
    <row r="3" spans="2:15" ht="14" customHeight="1" x14ac:dyDescent="0.4">
      <c r="B3" s="87" t="s">
        <v>48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2:15" ht="14" customHeight="1" x14ac:dyDescent="0.35">
      <c r="B4" s="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4" customHeight="1" x14ac:dyDescent="0.35">
      <c r="B5" s="7" t="s">
        <v>211</v>
      </c>
      <c r="C5" s="8"/>
      <c r="D5" s="8"/>
      <c r="E5" s="8"/>
      <c r="F5" s="8"/>
      <c r="G5" s="8"/>
      <c r="H5" s="8"/>
      <c r="I5" s="8"/>
      <c r="J5" s="8"/>
      <c r="K5" s="8"/>
      <c r="L5" s="8"/>
      <c r="M5" s="1"/>
      <c r="N5" s="1"/>
      <c r="O5" s="1"/>
    </row>
    <row r="6" spans="2:15" ht="14" customHeight="1" x14ac:dyDescent="0.35">
      <c r="B6" s="3"/>
      <c r="C6" s="82" t="s">
        <v>149</v>
      </c>
      <c r="D6" s="82" t="s">
        <v>150</v>
      </c>
      <c r="E6" s="82" t="s">
        <v>139</v>
      </c>
      <c r="F6" s="82" t="s">
        <v>210</v>
      </c>
      <c r="G6" s="82" t="s">
        <v>141</v>
      </c>
      <c r="H6" s="82" t="s">
        <v>142</v>
      </c>
      <c r="I6" s="82" t="s">
        <v>143</v>
      </c>
      <c r="J6" s="82" t="s">
        <v>144</v>
      </c>
      <c r="K6" s="82" t="s">
        <v>145</v>
      </c>
      <c r="L6" s="82" t="s">
        <v>146</v>
      </c>
      <c r="M6" s="269" t="s">
        <v>147</v>
      </c>
      <c r="N6" s="82" t="s">
        <v>16</v>
      </c>
      <c r="O6" s="2"/>
    </row>
    <row r="7" spans="2:15" ht="14" customHeight="1" x14ac:dyDescent="0.35">
      <c r="B7" s="8" t="s">
        <v>26</v>
      </c>
      <c r="C7" s="175">
        <f>C23</f>
        <v>1320</v>
      </c>
      <c r="D7" s="175">
        <f t="shared" ref="D7:M7" si="0">D23</f>
        <v>1980</v>
      </c>
      <c r="E7" s="175">
        <f t="shared" si="0"/>
        <v>6776</v>
      </c>
      <c r="F7" s="175">
        <f t="shared" si="0"/>
        <v>3080</v>
      </c>
      <c r="G7" s="175">
        <f t="shared" si="0"/>
        <v>2464</v>
      </c>
      <c r="H7" s="175">
        <f t="shared" si="0"/>
        <v>3696</v>
      </c>
      <c r="I7" s="175">
        <f t="shared" si="0"/>
        <v>3696</v>
      </c>
      <c r="J7" s="175">
        <f t="shared" si="0"/>
        <v>4928</v>
      </c>
      <c r="K7" s="175">
        <f t="shared" si="0"/>
        <v>6776</v>
      </c>
      <c r="L7" s="175">
        <f t="shared" si="0"/>
        <v>4928</v>
      </c>
      <c r="M7" s="271">
        <f t="shared" si="0"/>
        <v>0</v>
      </c>
      <c r="N7" s="175">
        <f>SUM(C7:L7)</f>
        <v>39644</v>
      </c>
      <c r="O7" s="181"/>
    </row>
    <row r="8" spans="2:15" ht="14" customHeight="1" x14ac:dyDescent="0.35">
      <c r="B8" s="8" t="s">
        <v>27</v>
      </c>
      <c r="C8" s="174">
        <f>C30</f>
        <v>1600</v>
      </c>
      <c r="D8" s="174">
        <f t="shared" ref="D8:M8" si="1">D30</f>
        <v>2400</v>
      </c>
      <c r="E8" s="174">
        <f t="shared" si="1"/>
        <v>8800</v>
      </c>
      <c r="F8" s="174">
        <f t="shared" si="1"/>
        <v>4000</v>
      </c>
      <c r="G8" s="174">
        <f t="shared" si="1"/>
        <v>3200</v>
      </c>
      <c r="H8" s="174">
        <f t="shared" si="1"/>
        <v>4800</v>
      </c>
      <c r="I8" s="174">
        <f t="shared" si="1"/>
        <v>4800</v>
      </c>
      <c r="J8" s="174">
        <f t="shared" si="1"/>
        <v>6400</v>
      </c>
      <c r="K8" s="174">
        <f t="shared" si="1"/>
        <v>8800</v>
      </c>
      <c r="L8" s="174">
        <f t="shared" si="1"/>
        <v>6400</v>
      </c>
      <c r="M8" s="271">
        <f t="shared" si="1"/>
        <v>0</v>
      </c>
      <c r="N8" s="174">
        <f>SUM(C8:M8)</f>
        <v>51200</v>
      </c>
      <c r="O8" s="181"/>
    </row>
    <row r="9" spans="2:15" ht="14" customHeight="1" x14ac:dyDescent="0.35">
      <c r="B9" s="10" t="s">
        <v>28</v>
      </c>
      <c r="C9" s="182">
        <f>SUM(C7:C8)</f>
        <v>2920</v>
      </c>
      <c r="D9" s="182">
        <f t="shared" ref="D9:N9" si="2">SUM(D7:D8)</f>
        <v>4380</v>
      </c>
      <c r="E9" s="182">
        <f t="shared" si="2"/>
        <v>15576</v>
      </c>
      <c r="F9" s="182">
        <f t="shared" si="2"/>
        <v>7080</v>
      </c>
      <c r="G9" s="182">
        <f t="shared" si="2"/>
        <v>5664</v>
      </c>
      <c r="H9" s="182">
        <f t="shared" si="2"/>
        <v>8496</v>
      </c>
      <c r="I9" s="182">
        <f t="shared" si="2"/>
        <v>8496</v>
      </c>
      <c r="J9" s="182">
        <f t="shared" si="2"/>
        <v>11328</v>
      </c>
      <c r="K9" s="182">
        <f t="shared" si="2"/>
        <v>15576</v>
      </c>
      <c r="L9" s="182">
        <f t="shared" si="2"/>
        <v>11328</v>
      </c>
      <c r="M9" s="273">
        <f t="shared" si="2"/>
        <v>0</v>
      </c>
      <c r="N9" s="182">
        <f t="shared" si="2"/>
        <v>90844</v>
      </c>
      <c r="O9" s="265"/>
    </row>
    <row r="10" spans="2:15" ht="14" customHeight="1" x14ac:dyDescent="0.35">
      <c r="B10" s="6"/>
      <c r="C10" s="41"/>
      <c r="D10" s="41"/>
      <c r="E10" s="41"/>
      <c r="F10" s="41"/>
      <c r="G10" s="41"/>
      <c r="H10" s="1"/>
      <c r="I10" s="1"/>
      <c r="J10" s="1"/>
      <c r="K10" s="1"/>
      <c r="L10" s="1"/>
      <c r="M10" s="1"/>
      <c r="N10" s="1"/>
      <c r="O10" s="1"/>
    </row>
    <row r="11" spans="2:15" ht="14" customHeight="1" x14ac:dyDescent="0.35">
      <c r="B11" s="3"/>
      <c r="C11" s="42"/>
      <c r="D11" s="42"/>
      <c r="E11" s="42"/>
      <c r="F11" s="42"/>
      <c r="G11" s="42"/>
      <c r="H11" s="8"/>
      <c r="I11" s="8"/>
      <c r="J11" s="8"/>
      <c r="K11" s="8"/>
      <c r="L11" s="8"/>
      <c r="M11" s="8"/>
      <c r="N11" s="8"/>
      <c r="O11" s="1"/>
    </row>
    <row r="12" spans="2:15" ht="14" customHeight="1" x14ac:dyDescent="0.35">
      <c r="B12" s="3"/>
      <c r="C12" s="42"/>
      <c r="D12" s="42"/>
      <c r="E12" s="42"/>
      <c r="F12" s="42"/>
      <c r="G12" s="42"/>
      <c r="H12" s="8"/>
      <c r="I12" s="8"/>
      <c r="J12" s="8"/>
      <c r="K12" s="8"/>
      <c r="L12" s="8"/>
      <c r="M12" s="8"/>
      <c r="N12" s="8"/>
      <c r="O12" s="1"/>
    </row>
    <row r="13" spans="2:15" ht="14" customHeight="1" x14ac:dyDescent="0.35"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"/>
    </row>
    <row r="14" spans="2:15" ht="14" customHeight="1" x14ac:dyDescent="0.35">
      <c r="B14" s="7" t="s">
        <v>212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"/>
    </row>
    <row r="15" spans="2:15" ht="14" customHeight="1" x14ac:dyDescent="0.35">
      <c r="B15" s="12"/>
      <c r="C15" s="82" t="s">
        <v>149</v>
      </c>
      <c r="D15" s="82" t="s">
        <v>150</v>
      </c>
      <c r="E15" s="82" t="s">
        <v>139</v>
      </c>
      <c r="F15" s="82" t="s">
        <v>210</v>
      </c>
      <c r="G15" s="82" t="s">
        <v>141</v>
      </c>
      <c r="H15" s="82" t="s">
        <v>142</v>
      </c>
      <c r="I15" s="82" t="s">
        <v>143</v>
      </c>
      <c r="J15" s="82" t="s">
        <v>144</v>
      </c>
      <c r="K15" s="82" t="s">
        <v>145</v>
      </c>
      <c r="L15" s="82" t="s">
        <v>146</v>
      </c>
      <c r="M15" s="269" t="s">
        <v>147</v>
      </c>
      <c r="N15" s="82" t="s">
        <v>16</v>
      </c>
      <c r="O15" s="2"/>
    </row>
    <row r="16" spans="2:15" ht="14" customHeight="1" x14ac:dyDescent="0.35">
      <c r="B16" s="10" t="s">
        <v>123</v>
      </c>
      <c r="C16" s="13">
        <f>C22</f>
        <v>2</v>
      </c>
      <c r="D16" s="13">
        <f>D22</f>
        <v>3</v>
      </c>
      <c r="E16" s="13">
        <f t="shared" ref="E16:L16" si="3">E22*0.6</f>
        <v>6.6</v>
      </c>
      <c r="F16" s="13">
        <f t="shared" si="3"/>
        <v>3</v>
      </c>
      <c r="G16" s="13">
        <f t="shared" si="3"/>
        <v>2.4</v>
      </c>
      <c r="H16" s="13">
        <f t="shared" si="3"/>
        <v>3.5999999999999996</v>
      </c>
      <c r="I16" s="13">
        <f t="shared" si="3"/>
        <v>3.5999999999999996</v>
      </c>
      <c r="J16" s="13">
        <f t="shared" si="3"/>
        <v>4.8</v>
      </c>
      <c r="K16" s="13">
        <f t="shared" si="3"/>
        <v>6.6</v>
      </c>
      <c r="L16" s="13">
        <f t="shared" si="3"/>
        <v>4.8</v>
      </c>
      <c r="M16" s="270"/>
      <c r="N16" s="13">
        <f>SUM(C16:L16)</f>
        <v>40.4</v>
      </c>
      <c r="O16" s="262"/>
    </row>
    <row r="17" spans="2:15" ht="14" customHeight="1" x14ac:dyDescent="0.35">
      <c r="B17" s="8" t="s">
        <v>31</v>
      </c>
      <c r="C17" s="174">
        <f>Assumptions!$E$79</f>
        <v>660</v>
      </c>
      <c r="D17" s="174">
        <f>Assumptions!$E$79</f>
        <v>660</v>
      </c>
      <c r="E17" s="174">
        <f>Assumptions!$E$79</f>
        <v>660</v>
      </c>
      <c r="F17" s="174">
        <f>Assumptions!$E$79</f>
        <v>660</v>
      </c>
      <c r="G17" s="174">
        <f>Assumptions!$E$79</f>
        <v>660</v>
      </c>
      <c r="H17" s="174">
        <f>Assumptions!$E$79</f>
        <v>660</v>
      </c>
      <c r="I17" s="174">
        <f>Assumptions!$E$79</f>
        <v>660</v>
      </c>
      <c r="J17" s="174">
        <f>Assumptions!$E$79</f>
        <v>660</v>
      </c>
      <c r="K17" s="174">
        <f>Assumptions!$E$79</f>
        <v>660</v>
      </c>
      <c r="L17" s="174">
        <f>Assumptions!$E$79</f>
        <v>660</v>
      </c>
      <c r="M17" s="271"/>
      <c r="N17" s="174">
        <f>Assumptions!$E$79</f>
        <v>660</v>
      </c>
      <c r="O17" s="181"/>
    </row>
    <row r="18" spans="2:15" ht="14" customHeight="1" x14ac:dyDescent="0.35">
      <c r="B18" s="8" t="s">
        <v>135</v>
      </c>
      <c r="C18" s="175">
        <f>C16*C17</f>
        <v>1320</v>
      </c>
      <c r="D18" s="175">
        <f t="shared" ref="D18:L18" si="4">D16*D17</f>
        <v>1980</v>
      </c>
      <c r="E18" s="175">
        <f t="shared" si="4"/>
        <v>4356</v>
      </c>
      <c r="F18" s="175">
        <f t="shared" si="4"/>
        <v>1980</v>
      </c>
      <c r="G18" s="175">
        <f t="shared" si="4"/>
        <v>1584</v>
      </c>
      <c r="H18" s="175">
        <f t="shared" si="4"/>
        <v>2375.9999999999995</v>
      </c>
      <c r="I18" s="175">
        <f t="shared" si="4"/>
        <v>2375.9999999999995</v>
      </c>
      <c r="J18" s="175">
        <f t="shared" si="4"/>
        <v>3168</v>
      </c>
      <c r="K18" s="175">
        <f t="shared" si="4"/>
        <v>4356</v>
      </c>
      <c r="L18" s="175">
        <f t="shared" si="4"/>
        <v>3168</v>
      </c>
      <c r="M18" s="271"/>
      <c r="N18" s="175">
        <f>N16*N17</f>
        <v>26664</v>
      </c>
      <c r="O18" s="181"/>
    </row>
    <row r="19" spans="2:15" ht="14" customHeight="1" x14ac:dyDescent="0.35">
      <c r="B19" s="10" t="s">
        <v>124</v>
      </c>
      <c r="C19" s="84">
        <f>Assumptions!$E$64*Income!C23</f>
        <v>0</v>
      </c>
      <c r="D19" s="84">
        <v>0</v>
      </c>
      <c r="E19" s="84">
        <f t="shared" ref="E19:L19" si="5">0.4*E22</f>
        <v>4.4000000000000004</v>
      </c>
      <c r="F19" s="84">
        <f t="shared" si="5"/>
        <v>2</v>
      </c>
      <c r="G19" s="84">
        <f t="shared" si="5"/>
        <v>1.6</v>
      </c>
      <c r="H19" s="84">
        <f t="shared" si="5"/>
        <v>2.4000000000000004</v>
      </c>
      <c r="I19" s="84">
        <f t="shared" si="5"/>
        <v>2.4000000000000004</v>
      </c>
      <c r="J19" s="84">
        <f t="shared" si="5"/>
        <v>3.2</v>
      </c>
      <c r="K19" s="84">
        <f t="shared" si="5"/>
        <v>4.4000000000000004</v>
      </c>
      <c r="L19" s="84">
        <f t="shared" si="5"/>
        <v>3.2</v>
      </c>
      <c r="M19" s="270"/>
      <c r="N19" s="84">
        <f>SUM(C19:L19)</f>
        <v>23.599999999999998</v>
      </c>
      <c r="O19" s="262"/>
    </row>
    <row r="20" spans="2:15" ht="14" customHeight="1" x14ac:dyDescent="0.35">
      <c r="B20" s="8" t="s">
        <v>31</v>
      </c>
      <c r="C20" s="175">
        <f>Assumptions!$E$67</f>
        <v>550</v>
      </c>
      <c r="D20" s="175">
        <f>Assumptions!$E$67</f>
        <v>550</v>
      </c>
      <c r="E20" s="175">
        <f>Assumptions!$E$67</f>
        <v>550</v>
      </c>
      <c r="F20" s="175">
        <f>Assumptions!$E$67</f>
        <v>550</v>
      </c>
      <c r="G20" s="175">
        <f>Assumptions!$E$67</f>
        <v>550</v>
      </c>
      <c r="H20" s="175">
        <f>Assumptions!$E$67</f>
        <v>550</v>
      </c>
      <c r="I20" s="175">
        <f>Assumptions!$E$67</f>
        <v>550</v>
      </c>
      <c r="J20" s="175">
        <f>Assumptions!$E$67</f>
        <v>550</v>
      </c>
      <c r="K20" s="175">
        <f>Assumptions!$E$67</f>
        <v>550</v>
      </c>
      <c r="L20" s="175">
        <f>Assumptions!$E$67</f>
        <v>550</v>
      </c>
      <c r="M20" s="271"/>
      <c r="N20" s="175">
        <f>Assumptions!$E$67</f>
        <v>550</v>
      </c>
      <c r="O20" s="181"/>
    </row>
    <row r="21" spans="2:15" ht="14" customHeight="1" x14ac:dyDescent="0.35">
      <c r="B21" s="8" t="s">
        <v>136</v>
      </c>
      <c r="C21" s="174">
        <f>C19*C20</f>
        <v>0</v>
      </c>
      <c r="D21" s="174">
        <f t="shared" ref="D21:N21" si="6">D19*D20</f>
        <v>0</v>
      </c>
      <c r="E21" s="174">
        <f t="shared" si="6"/>
        <v>2420</v>
      </c>
      <c r="F21" s="174">
        <f t="shared" si="6"/>
        <v>1100</v>
      </c>
      <c r="G21" s="174">
        <f t="shared" si="6"/>
        <v>880</v>
      </c>
      <c r="H21" s="174">
        <f t="shared" si="6"/>
        <v>1320.0000000000002</v>
      </c>
      <c r="I21" s="174">
        <f t="shared" si="6"/>
        <v>1320.0000000000002</v>
      </c>
      <c r="J21" s="174">
        <f t="shared" si="6"/>
        <v>1760</v>
      </c>
      <c r="K21" s="174">
        <f t="shared" si="6"/>
        <v>2420</v>
      </c>
      <c r="L21" s="174">
        <f t="shared" si="6"/>
        <v>1760</v>
      </c>
      <c r="M21" s="271"/>
      <c r="N21" s="174">
        <f t="shared" si="6"/>
        <v>12979.999999999998</v>
      </c>
      <c r="O21" s="181"/>
    </row>
    <row r="22" spans="2:15" ht="14" customHeight="1" x14ac:dyDescent="0.35">
      <c r="B22" s="10" t="s">
        <v>213</v>
      </c>
      <c r="C22" s="16">
        <v>2</v>
      </c>
      <c r="D22" s="16">
        <v>3</v>
      </c>
      <c r="E22" s="16">
        <v>11</v>
      </c>
      <c r="F22" s="16">
        <v>5</v>
      </c>
      <c r="G22" s="16">
        <v>4</v>
      </c>
      <c r="H22" s="16">
        <v>6</v>
      </c>
      <c r="I22" s="16">
        <v>6</v>
      </c>
      <c r="J22" s="16">
        <v>8</v>
      </c>
      <c r="K22" s="16">
        <v>11</v>
      </c>
      <c r="L22" s="16">
        <v>8</v>
      </c>
      <c r="M22" s="272"/>
      <c r="N22" s="16">
        <f>SUM(C22:L22)</f>
        <v>64</v>
      </c>
      <c r="O22" s="262"/>
    </row>
    <row r="23" spans="2:15" ht="14" customHeight="1" x14ac:dyDescent="0.35">
      <c r="B23" s="10" t="s">
        <v>28</v>
      </c>
      <c r="C23" s="184">
        <f>SUM(C18,C21)</f>
        <v>1320</v>
      </c>
      <c r="D23" s="184">
        <f t="shared" ref="D23:L23" si="7">SUM(D18,D21)</f>
        <v>1980</v>
      </c>
      <c r="E23" s="184">
        <f t="shared" si="7"/>
        <v>6776</v>
      </c>
      <c r="F23" s="184">
        <f t="shared" si="7"/>
        <v>3080</v>
      </c>
      <c r="G23" s="184">
        <f t="shared" si="7"/>
        <v>2464</v>
      </c>
      <c r="H23" s="184">
        <f t="shared" si="7"/>
        <v>3696</v>
      </c>
      <c r="I23" s="184">
        <f t="shared" si="7"/>
        <v>3696</v>
      </c>
      <c r="J23" s="184">
        <f t="shared" si="7"/>
        <v>4928</v>
      </c>
      <c r="K23" s="184">
        <f t="shared" si="7"/>
        <v>6776</v>
      </c>
      <c r="L23" s="184">
        <f t="shared" si="7"/>
        <v>4928</v>
      </c>
      <c r="M23" s="273"/>
      <c r="N23" s="184">
        <f>SUM(N18,N21)</f>
        <v>39644</v>
      </c>
      <c r="O23" s="265"/>
    </row>
    <row r="24" spans="2:15" ht="14" customHeight="1" x14ac:dyDescent="0.35">
      <c r="B24" s="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101"/>
    </row>
    <row r="25" spans="2:15" ht="14" customHeight="1" x14ac:dyDescent="0.35">
      <c r="B25" s="7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1"/>
    </row>
    <row r="26" spans="2:15" ht="14" customHeight="1" x14ac:dyDescent="0.35">
      <c r="B26" s="7" t="s">
        <v>214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"/>
    </row>
    <row r="27" spans="2:15" ht="14" customHeight="1" x14ac:dyDescent="0.35">
      <c r="B27" s="17"/>
      <c r="C27" s="82" t="s">
        <v>149</v>
      </c>
      <c r="D27" s="82" t="s">
        <v>150</v>
      </c>
      <c r="E27" s="82" t="s">
        <v>139</v>
      </c>
      <c r="F27" s="82" t="s">
        <v>210</v>
      </c>
      <c r="G27" s="82" t="s">
        <v>141</v>
      </c>
      <c r="H27" s="82" t="s">
        <v>142</v>
      </c>
      <c r="I27" s="82" t="s">
        <v>143</v>
      </c>
      <c r="J27" s="82" t="s">
        <v>144</v>
      </c>
      <c r="K27" s="82" t="s">
        <v>145</v>
      </c>
      <c r="L27" s="82" t="s">
        <v>146</v>
      </c>
      <c r="M27" s="269" t="s">
        <v>147</v>
      </c>
      <c r="N27" s="82" t="s">
        <v>16</v>
      </c>
      <c r="O27" s="2"/>
    </row>
    <row r="28" spans="2:15" ht="14" customHeight="1" x14ac:dyDescent="0.35">
      <c r="B28" s="8" t="s">
        <v>27</v>
      </c>
      <c r="C28" s="45">
        <f t="shared" ref="C28:M28" si="8">C22</f>
        <v>2</v>
      </c>
      <c r="D28" s="45">
        <f t="shared" si="8"/>
        <v>3</v>
      </c>
      <c r="E28" s="45">
        <f t="shared" si="8"/>
        <v>11</v>
      </c>
      <c r="F28" s="45">
        <f t="shared" si="8"/>
        <v>5</v>
      </c>
      <c r="G28" s="45">
        <f t="shared" si="8"/>
        <v>4</v>
      </c>
      <c r="H28" s="45">
        <f t="shared" si="8"/>
        <v>6</v>
      </c>
      <c r="I28" s="45">
        <f t="shared" si="8"/>
        <v>6</v>
      </c>
      <c r="J28" s="45">
        <f t="shared" si="8"/>
        <v>8</v>
      </c>
      <c r="K28" s="45">
        <f t="shared" si="8"/>
        <v>11</v>
      </c>
      <c r="L28" s="45">
        <f t="shared" si="8"/>
        <v>8</v>
      </c>
      <c r="M28" s="274">
        <f t="shared" si="8"/>
        <v>0</v>
      </c>
      <c r="N28" s="45">
        <f>SUM(C28:L28)</f>
        <v>64</v>
      </c>
      <c r="O28" s="263"/>
    </row>
    <row r="29" spans="2:15" ht="14" customHeight="1" x14ac:dyDescent="0.35">
      <c r="B29" s="8" t="s">
        <v>33</v>
      </c>
      <c r="C29" s="179">
        <f>Assumptions!$E$81</f>
        <v>800</v>
      </c>
      <c r="D29" s="179">
        <f>Assumptions!$E$81</f>
        <v>800</v>
      </c>
      <c r="E29" s="179">
        <f>Assumptions!$E$81</f>
        <v>800</v>
      </c>
      <c r="F29" s="179">
        <f>Assumptions!$E$81</f>
        <v>800</v>
      </c>
      <c r="G29" s="179">
        <f>Assumptions!$E$81</f>
        <v>800</v>
      </c>
      <c r="H29" s="179">
        <f>Assumptions!$E$81</f>
        <v>800</v>
      </c>
      <c r="I29" s="179">
        <f>Assumptions!$E$81</f>
        <v>800</v>
      </c>
      <c r="J29" s="179">
        <f>Assumptions!$E$81</f>
        <v>800</v>
      </c>
      <c r="K29" s="179">
        <f>Assumptions!$E$81</f>
        <v>800</v>
      </c>
      <c r="L29" s="179">
        <f>Assumptions!$E$81</f>
        <v>800</v>
      </c>
      <c r="M29" s="275">
        <v>0</v>
      </c>
      <c r="N29" s="179">
        <f>Assumptions!$E$81</f>
        <v>800</v>
      </c>
      <c r="O29" s="264"/>
    </row>
    <row r="30" spans="2:15" ht="14" customHeight="1" x14ac:dyDescent="0.35">
      <c r="B30" s="10" t="s">
        <v>28</v>
      </c>
      <c r="C30" s="180">
        <f t="shared" ref="C30:M30" si="9">C29*C28</f>
        <v>1600</v>
      </c>
      <c r="D30" s="180">
        <f t="shared" si="9"/>
        <v>2400</v>
      </c>
      <c r="E30" s="180">
        <f t="shared" si="9"/>
        <v>8800</v>
      </c>
      <c r="F30" s="180">
        <f t="shared" si="9"/>
        <v>4000</v>
      </c>
      <c r="G30" s="180">
        <f t="shared" si="9"/>
        <v>3200</v>
      </c>
      <c r="H30" s="180">
        <f t="shared" si="9"/>
        <v>4800</v>
      </c>
      <c r="I30" s="180">
        <f t="shared" si="9"/>
        <v>4800</v>
      </c>
      <c r="J30" s="180">
        <f t="shared" si="9"/>
        <v>6400</v>
      </c>
      <c r="K30" s="180">
        <f t="shared" si="9"/>
        <v>8800</v>
      </c>
      <c r="L30" s="180">
        <f t="shared" si="9"/>
        <v>6400</v>
      </c>
      <c r="M30" s="276">
        <f t="shared" si="9"/>
        <v>0</v>
      </c>
      <c r="N30" s="180">
        <f>SUM(C30:L30)</f>
        <v>51200</v>
      </c>
      <c r="O30" s="267"/>
    </row>
    <row r="31" spans="2:15" ht="14" customHeight="1" x14ac:dyDescent="0.35">
      <c r="O31" s="268"/>
    </row>
    <row r="36" spans="2:15" ht="14" customHeight="1" x14ac:dyDescent="0.4">
      <c r="B36" s="87" t="s">
        <v>48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</row>
    <row r="37" spans="2:15" ht="14" customHeight="1" x14ac:dyDescent="0.35">
      <c r="B37" s="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2:15" ht="14" customHeight="1" x14ac:dyDescent="0.35">
      <c r="B38" s="7" t="s">
        <v>215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1"/>
      <c r="N38" s="1"/>
      <c r="O38" s="1"/>
    </row>
    <row r="39" spans="2:15" ht="14" customHeight="1" x14ac:dyDescent="0.35">
      <c r="B39" s="3"/>
      <c r="C39" s="82" t="s">
        <v>149</v>
      </c>
      <c r="D39" s="82" t="s">
        <v>150</v>
      </c>
      <c r="E39" s="82" t="s">
        <v>139</v>
      </c>
      <c r="F39" s="82" t="s">
        <v>210</v>
      </c>
      <c r="G39" s="82" t="s">
        <v>141</v>
      </c>
      <c r="H39" s="82" t="s">
        <v>142</v>
      </c>
      <c r="I39" s="82" t="s">
        <v>143</v>
      </c>
      <c r="J39" s="82" t="s">
        <v>144</v>
      </c>
      <c r="K39" s="82" t="s">
        <v>145</v>
      </c>
      <c r="L39" s="82" t="s">
        <v>146</v>
      </c>
      <c r="M39" s="269" t="s">
        <v>147</v>
      </c>
      <c r="N39" s="82" t="s">
        <v>16</v>
      </c>
      <c r="O39" s="2"/>
    </row>
    <row r="40" spans="2:15" ht="14" customHeight="1" x14ac:dyDescent="0.35">
      <c r="B40" s="8" t="s">
        <v>26</v>
      </c>
      <c r="C40" s="175">
        <f>C56</f>
        <v>1122</v>
      </c>
      <c r="D40" s="175">
        <f t="shared" ref="D40:N40" si="10">D56</f>
        <v>1683</v>
      </c>
      <c r="E40" s="175">
        <f t="shared" si="10"/>
        <v>5638.6</v>
      </c>
      <c r="F40" s="175">
        <f t="shared" si="10"/>
        <v>2563</v>
      </c>
      <c r="G40" s="175">
        <f t="shared" si="10"/>
        <v>2050.3999999999996</v>
      </c>
      <c r="H40" s="175">
        <f t="shared" si="10"/>
        <v>3075.6000000000004</v>
      </c>
      <c r="I40" s="175">
        <f t="shared" si="10"/>
        <v>3075.6000000000004</v>
      </c>
      <c r="J40" s="175">
        <f t="shared" si="10"/>
        <v>4100.7999999999993</v>
      </c>
      <c r="K40" s="175">
        <f t="shared" si="10"/>
        <v>5638.6</v>
      </c>
      <c r="L40" s="175">
        <f t="shared" si="10"/>
        <v>4100.7999999999993</v>
      </c>
      <c r="M40" s="271">
        <f t="shared" si="10"/>
        <v>0</v>
      </c>
      <c r="N40" s="175">
        <f t="shared" si="10"/>
        <v>33048.399999999994</v>
      </c>
      <c r="O40" s="181"/>
    </row>
    <row r="41" spans="2:15" ht="14" customHeight="1" x14ac:dyDescent="0.35">
      <c r="B41" s="8" t="s">
        <v>27</v>
      </c>
      <c r="C41" s="174">
        <f>C63</f>
        <v>960</v>
      </c>
      <c r="D41" s="174">
        <f t="shared" ref="D41:N41" si="11">D63</f>
        <v>1440</v>
      </c>
      <c r="E41" s="174">
        <f t="shared" si="11"/>
        <v>5280</v>
      </c>
      <c r="F41" s="174">
        <f t="shared" si="11"/>
        <v>2400</v>
      </c>
      <c r="G41" s="174">
        <f t="shared" si="11"/>
        <v>1920</v>
      </c>
      <c r="H41" s="174">
        <f t="shared" si="11"/>
        <v>2880</v>
      </c>
      <c r="I41" s="174">
        <f t="shared" si="11"/>
        <v>4800</v>
      </c>
      <c r="J41" s="174">
        <f t="shared" si="11"/>
        <v>4800</v>
      </c>
      <c r="K41" s="174">
        <f t="shared" si="11"/>
        <v>7200</v>
      </c>
      <c r="L41" s="174">
        <f t="shared" si="11"/>
        <v>4800</v>
      </c>
      <c r="M41" s="271">
        <f t="shared" si="11"/>
        <v>0</v>
      </c>
      <c r="N41" s="174">
        <f t="shared" si="11"/>
        <v>36480</v>
      </c>
      <c r="O41" s="181"/>
    </row>
    <row r="42" spans="2:15" ht="14" customHeight="1" x14ac:dyDescent="0.35">
      <c r="B42" s="10" t="s">
        <v>159</v>
      </c>
      <c r="C42" s="182">
        <f>SUM(C40:C41)</f>
        <v>2082</v>
      </c>
      <c r="D42" s="182">
        <f t="shared" ref="D42:N42" si="12">SUM(D40:D41)</f>
        <v>3123</v>
      </c>
      <c r="E42" s="182">
        <f t="shared" si="12"/>
        <v>10918.6</v>
      </c>
      <c r="F42" s="182">
        <f t="shared" si="12"/>
        <v>4963</v>
      </c>
      <c r="G42" s="182">
        <f t="shared" si="12"/>
        <v>3970.3999999999996</v>
      </c>
      <c r="H42" s="182">
        <f t="shared" si="12"/>
        <v>5955.6</v>
      </c>
      <c r="I42" s="182">
        <f t="shared" si="12"/>
        <v>7875.6</v>
      </c>
      <c r="J42" s="182">
        <f t="shared" si="12"/>
        <v>8900.7999999999993</v>
      </c>
      <c r="K42" s="182">
        <f t="shared" si="12"/>
        <v>12838.6</v>
      </c>
      <c r="L42" s="182">
        <f t="shared" si="12"/>
        <v>8900.7999999999993</v>
      </c>
      <c r="M42" s="273">
        <f t="shared" si="12"/>
        <v>0</v>
      </c>
      <c r="N42" s="182">
        <f t="shared" si="12"/>
        <v>69528.399999999994</v>
      </c>
      <c r="O42" s="265"/>
    </row>
    <row r="43" spans="2:15" ht="14" customHeight="1" x14ac:dyDescent="0.35">
      <c r="B43" s="6"/>
      <c r="C43" s="41"/>
      <c r="D43" s="41"/>
      <c r="E43" s="41"/>
      <c r="F43" s="41"/>
      <c r="G43" s="41"/>
      <c r="H43" s="1"/>
      <c r="I43" s="1"/>
      <c r="J43" s="1"/>
      <c r="K43" s="1"/>
      <c r="L43" s="1"/>
      <c r="M43" s="1"/>
      <c r="N43" s="1"/>
      <c r="O43" s="1"/>
    </row>
    <row r="44" spans="2:15" ht="14" customHeight="1" x14ac:dyDescent="0.35">
      <c r="B44" s="3"/>
      <c r="C44" s="42"/>
      <c r="D44" s="42"/>
      <c r="E44" s="42"/>
      <c r="F44" s="42"/>
      <c r="G44" s="42"/>
      <c r="H44" s="8"/>
      <c r="I44" s="8"/>
      <c r="J44" s="8"/>
      <c r="K44" s="8"/>
      <c r="L44" s="8"/>
      <c r="M44" s="8"/>
      <c r="N44" s="8"/>
      <c r="O44" s="1"/>
    </row>
    <row r="45" spans="2:15" ht="14" customHeight="1" x14ac:dyDescent="0.35">
      <c r="B45" s="3"/>
      <c r="C45" s="42"/>
      <c r="D45" s="42"/>
      <c r="E45" s="42"/>
      <c r="F45" s="42"/>
      <c r="G45" s="42"/>
      <c r="H45" s="8"/>
      <c r="I45" s="8"/>
      <c r="J45" s="8"/>
      <c r="K45" s="8"/>
      <c r="L45" s="8"/>
      <c r="M45" s="8"/>
      <c r="N45" s="8"/>
      <c r="O45" s="1"/>
    </row>
    <row r="46" spans="2:15" ht="14" customHeight="1" x14ac:dyDescent="0.35">
      <c r="B46" s="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"/>
    </row>
    <row r="47" spans="2:15" ht="14" customHeight="1" x14ac:dyDescent="0.35">
      <c r="B47" s="7" t="s">
        <v>216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"/>
    </row>
    <row r="48" spans="2:15" ht="14" customHeight="1" x14ac:dyDescent="0.35">
      <c r="B48" s="12"/>
      <c r="C48" s="82" t="s">
        <v>149</v>
      </c>
      <c r="D48" s="82" t="s">
        <v>150</v>
      </c>
      <c r="E48" s="82" t="s">
        <v>139</v>
      </c>
      <c r="F48" s="82" t="s">
        <v>210</v>
      </c>
      <c r="G48" s="82" t="s">
        <v>141</v>
      </c>
      <c r="H48" s="82" t="s">
        <v>142</v>
      </c>
      <c r="I48" s="82" t="s">
        <v>143</v>
      </c>
      <c r="J48" s="82" t="s">
        <v>144</v>
      </c>
      <c r="K48" s="82" t="s">
        <v>145</v>
      </c>
      <c r="L48" s="82" t="s">
        <v>146</v>
      </c>
      <c r="M48" s="269" t="s">
        <v>147</v>
      </c>
      <c r="N48" s="82" t="s">
        <v>16</v>
      </c>
      <c r="O48" s="2"/>
    </row>
    <row r="49" spans="2:15" ht="14" customHeight="1" x14ac:dyDescent="0.35">
      <c r="B49" s="10" t="s">
        <v>123</v>
      </c>
      <c r="C49" s="13">
        <f>C16</f>
        <v>2</v>
      </c>
      <c r="D49" s="13">
        <f t="shared" ref="D49:M49" si="13">D16</f>
        <v>3</v>
      </c>
      <c r="E49" s="13">
        <f t="shared" si="13"/>
        <v>6.6</v>
      </c>
      <c r="F49" s="13">
        <f t="shared" si="13"/>
        <v>3</v>
      </c>
      <c r="G49" s="13">
        <f t="shared" si="13"/>
        <v>2.4</v>
      </c>
      <c r="H49" s="13">
        <f t="shared" si="13"/>
        <v>3.5999999999999996</v>
      </c>
      <c r="I49" s="13">
        <f t="shared" si="13"/>
        <v>3.5999999999999996</v>
      </c>
      <c r="J49" s="13">
        <f t="shared" si="13"/>
        <v>4.8</v>
      </c>
      <c r="K49" s="13">
        <f t="shared" si="13"/>
        <v>6.6</v>
      </c>
      <c r="L49" s="13">
        <f t="shared" si="13"/>
        <v>4.8</v>
      </c>
      <c r="M49" s="270">
        <f t="shared" si="13"/>
        <v>0</v>
      </c>
      <c r="N49" s="13">
        <f>SUM(C49:M49)</f>
        <v>40.4</v>
      </c>
      <c r="O49" s="262"/>
    </row>
    <row r="50" spans="2:15" ht="14" customHeight="1" x14ac:dyDescent="0.35">
      <c r="B50" s="8" t="s">
        <v>36</v>
      </c>
      <c r="C50" s="174">
        <f>Assumptions!$N$66</f>
        <v>561</v>
      </c>
      <c r="D50" s="174">
        <f>Assumptions!$N$66</f>
        <v>561</v>
      </c>
      <c r="E50" s="174">
        <f>Assumptions!$N$66</f>
        <v>561</v>
      </c>
      <c r="F50" s="174">
        <f>Assumptions!$N$66</f>
        <v>561</v>
      </c>
      <c r="G50" s="174">
        <f>Assumptions!$N$66</f>
        <v>561</v>
      </c>
      <c r="H50" s="174">
        <f>Assumptions!$N$66</f>
        <v>561</v>
      </c>
      <c r="I50" s="174">
        <f>Assumptions!$N$66</f>
        <v>561</v>
      </c>
      <c r="J50" s="174">
        <f>Assumptions!$N$66</f>
        <v>561</v>
      </c>
      <c r="K50" s="174">
        <f>Assumptions!$N$66</f>
        <v>561</v>
      </c>
      <c r="L50" s="174">
        <f>Assumptions!$N$66</f>
        <v>561</v>
      </c>
      <c r="M50" s="271">
        <f>Assumptions!$N$66</f>
        <v>561</v>
      </c>
      <c r="N50" s="174">
        <f>Assumptions!$N$66</f>
        <v>561</v>
      </c>
      <c r="O50" s="181"/>
    </row>
    <row r="51" spans="2:15" ht="14" customHeight="1" x14ac:dyDescent="0.35">
      <c r="B51" s="8" t="s">
        <v>161</v>
      </c>
      <c r="C51" s="175">
        <f>C49*C50</f>
        <v>1122</v>
      </c>
      <c r="D51" s="175">
        <f t="shared" ref="D51:N51" si="14">D49*D50</f>
        <v>1683</v>
      </c>
      <c r="E51" s="175">
        <f t="shared" si="14"/>
        <v>3702.6</v>
      </c>
      <c r="F51" s="175">
        <f t="shared" si="14"/>
        <v>1683</v>
      </c>
      <c r="G51" s="175">
        <f t="shared" si="14"/>
        <v>1346.3999999999999</v>
      </c>
      <c r="H51" s="175">
        <f t="shared" si="14"/>
        <v>2019.6</v>
      </c>
      <c r="I51" s="175">
        <f t="shared" si="14"/>
        <v>2019.6</v>
      </c>
      <c r="J51" s="175">
        <f t="shared" si="14"/>
        <v>2692.7999999999997</v>
      </c>
      <c r="K51" s="175">
        <f t="shared" si="14"/>
        <v>3702.6</v>
      </c>
      <c r="L51" s="175">
        <f t="shared" si="14"/>
        <v>2692.7999999999997</v>
      </c>
      <c r="M51" s="271">
        <f t="shared" si="14"/>
        <v>0</v>
      </c>
      <c r="N51" s="175">
        <f t="shared" si="14"/>
        <v>22664.399999999998</v>
      </c>
      <c r="O51" s="181"/>
    </row>
    <row r="52" spans="2:15" ht="14" customHeight="1" x14ac:dyDescent="0.35">
      <c r="B52" s="10" t="s">
        <v>124</v>
      </c>
      <c r="C52" s="84">
        <f>C19</f>
        <v>0</v>
      </c>
      <c r="D52" s="84">
        <f t="shared" ref="D52:M52" si="15">D19</f>
        <v>0</v>
      </c>
      <c r="E52" s="84">
        <f t="shared" si="15"/>
        <v>4.4000000000000004</v>
      </c>
      <c r="F52" s="84">
        <f t="shared" si="15"/>
        <v>2</v>
      </c>
      <c r="G52" s="84">
        <f t="shared" si="15"/>
        <v>1.6</v>
      </c>
      <c r="H52" s="84">
        <f t="shared" si="15"/>
        <v>2.4000000000000004</v>
      </c>
      <c r="I52" s="84">
        <f t="shared" si="15"/>
        <v>2.4000000000000004</v>
      </c>
      <c r="J52" s="84">
        <f t="shared" si="15"/>
        <v>3.2</v>
      </c>
      <c r="K52" s="84">
        <f t="shared" si="15"/>
        <v>4.4000000000000004</v>
      </c>
      <c r="L52" s="84">
        <f t="shared" si="15"/>
        <v>3.2</v>
      </c>
      <c r="M52" s="270">
        <f t="shared" si="15"/>
        <v>0</v>
      </c>
      <c r="N52" s="84">
        <f>SUM(C52:M52)</f>
        <v>23.599999999999998</v>
      </c>
      <c r="O52" s="262"/>
    </row>
    <row r="53" spans="2:15" ht="14" customHeight="1" x14ac:dyDescent="0.35">
      <c r="B53" s="8" t="s">
        <v>36</v>
      </c>
      <c r="C53" s="175">
        <f>Assumptions!$N$67</f>
        <v>440</v>
      </c>
      <c r="D53" s="175">
        <f>Assumptions!$N$67</f>
        <v>440</v>
      </c>
      <c r="E53" s="175">
        <f>Assumptions!$N$67</f>
        <v>440</v>
      </c>
      <c r="F53" s="175">
        <f>Assumptions!$N$67</f>
        <v>440</v>
      </c>
      <c r="G53" s="175">
        <f>Assumptions!$N$67</f>
        <v>440</v>
      </c>
      <c r="H53" s="175">
        <f>Assumptions!$N$67</f>
        <v>440</v>
      </c>
      <c r="I53" s="175">
        <f>Assumptions!$N$67</f>
        <v>440</v>
      </c>
      <c r="J53" s="175">
        <f>Assumptions!$N$67</f>
        <v>440</v>
      </c>
      <c r="K53" s="175">
        <f>Assumptions!$N$67</f>
        <v>440</v>
      </c>
      <c r="L53" s="175">
        <f>Assumptions!$N$67</f>
        <v>440</v>
      </c>
      <c r="M53" s="271">
        <f>Assumptions!$N$67</f>
        <v>440</v>
      </c>
      <c r="N53" s="175">
        <f>Assumptions!$N$67</f>
        <v>440</v>
      </c>
      <c r="O53" s="181"/>
    </row>
    <row r="54" spans="2:15" ht="14" customHeight="1" x14ac:dyDescent="0.35">
      <c r="B54" s="8" t="s">
        <v>162</v>
      </c>
      <c r="C54" s="174">
        <f>C52*C53</f>
        <v>0</v>
      </c>
      <c r="D54" s="174">
        <f t="shared" ref="D54:N54" si="16">D52*D53</f>
        <v>0</v>
      </c>
      <c r="E54" s="174">
        <f t="shared" si="16"/>
        <v>1936.0000000000002</v>
      </c>
      <c r="F54" s="174">
        <f t="shared" si="16"/>
        <v>880</v>
      </c>
      <c r="G54" s="174">
        <f t="shared" si="16"/>
        <v>704</v>
      </c>
      <c r="H54" s="174">
        <f t="shared" si="16"/>
        <v>1056.0000000000002</v>
      </c>
      <c r="I54" s="174">
        <f t="shared" si="16"/>
        <v>1056.0000000000002</v>
      </c>
      <c r="J54" s="174">
        <f t="shared" si="16"/>
        <v>1408</v>
      </c>
      <c r="K54" s="174">
        <f t="shared" si="16"/>
        <v>1936.0000000000002</v>
      </c>
      <c r="L54" s="174">
        <f t="shared" si="16"/>
        <v>1408</v>
      </c>
      <c r="M54" s="271">
        <f t="shared" si="16"/>
        <v>0</v>
      </c>
      <c r="N54" s="174">
        <f t="shared" si="16"/>
        <v>10383.999999999998</v>
      </c>
      <c r="O54" s="181"/>
    </row>
    <row r="55" spans="2:15" ht="14" customHeight="1" x14ac:dyDescent="0.35">
      <c r="B55" s="10" t="s">
        <v>213</v>
      </c>
      <c r="C55" s="16">
        <f>C22</f>
        <v>2</v>
      </c>
      <c r="D55" s="16">
        <f t="shared" ref="D55:M55" si="17">D22</f>
        <v>3</v>
      </c>
      <c r="E55" s="16">
        <f t="shared" si="17"/>
        <v>11</v>
      </c>
      <c r="F55" s="16">
        <f t="shared" si="17"/>
        <v>5</v>
      </c>
      <c r="G55" s="16">
        <f t="shared" si="17"/>
        <v>4</v>
      </c>
      <c r="H55" s="16">
        <f t="shared" si="17"/>
        <v>6</v>
      </c>
      <c r="I55" s="16">
        <f t="shared" si="17"/>
        <v>6</v>
      </c>
      <c r="J55" s="16">
        <f t="shared" si="17"/>
        <v>8</v>
      </c>
      <c r="K55" s="16">
        <f t="shared" si="17"/>
        <v>11</v>
      </c>
      <c r="L55" s="16">
        <f t="shared" si="17"/>
        <v>8</v>
      </c>
      <c r="M55" s="272">
        <f t="shared" si="17"/>
        <v>0</v>
      </c>
      <c r="N55" s="16">
        <f>SUM(N49,N52)</f>
        <v>64</v>
      </c>
      <c r="O55" s="262"/>
    </row>
    <row r="56" spans="2:15" ht="14" customHeight="1" x14ac:dyDescent="0.35">
      <c r="B56" s="10" t="s">
        <v>159</v>
      </c>
      <c r="C56" s="184">
        <f>SUM(C51,C54)</f>
        <v>1122</v>
      </c>
      <c r="D56" s="184">
        <f t="shared" ref="D56:N56" si="18">SUM(D51,D54)</f>
        <v>1683</v>
      </c>
      <c r="E56" s="184">
        <f t="shared" si="18"/>
        <v>5638.6</v>
      </c>
      <c r="F56" s="184">
        <f t="shared" si="18"/>
        <v>2563</v>
      </c>
      <c r="G56" s="184">
        <f t="shared" si="18"/>
        <v>2050.3999999999996</v>
      </c>
      <c r="H56" s="184">
        <f t="shared" si="18"/>
        <v>3075.6000000000004</v>
      </c>
      <c r="I56" s="184">
        <f t="shared" si="18"/>
        <v>3075.6000000000004</v>
      </c>
      <c r="J56" s="184">
        <f t="shared" si="18"/>
        <v>4100.7999999999993</v>
      </c>
      <c r="K56" s="184">
        <f t="shared" si="18"/>
        <v>5638.6</v>
      </c>
      <c r="L56" s="184">
        <f t="shared" si="18"/>
        <v>4100.7999999999993</v>
      </c>
      <c r="M56" s="273">
        <f t="shared" si="18"/>
        <v>0</v>
      </c>
      <c r="N56" s="184">
        <f t="shared" si="18"/>
        <v>33048.399999999994</v>
      </c>
      <c r="O56" s="265"/>
    </row>
    <row r="57" spans="2:15" ht="14" customHeight="1" x14ac:dyDescent="0.35">
      <c r="B57" s="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101"/>
    </row>
    <row r="58" spans="2:15" ht="14" customHeight="1" x14ac:dyDescent="0.35">
      <c r="B58" s="7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1"/>
    </row>
    <row r="59" spans="2:15" ht="14" customHeight="1" x14ac:dyDescent="0.35">
      <c r="B59" s="7" t="s">
        <v>217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"/>
    </row>
    <row r="60" spans="2:15" ht="14" customHeight="1" x14ac:dyDescent="0.35">
      <c r="B60" s="17"/>
      <c r="C60" s="82" t="s">
        <v>149</v>
      </c>
      <c r="D60" s="82" t="s">
        <v>150</v>
      </c>
      <c r="E60" s="82" t="s">
        <v>139</v>
      </c>
      <c r="F60" s="82" t="s">
        <v>210</v>
      </c>
      <c r="G60" s="82" t="s">
        <v>141</v>
      </c>
      <c r="H60" s="82" t="s">
        <v>142</v>
      </c>
      <c r="I60" s="82" t="s">
        <v>143</v>
      </c>
      <c r="J60" s="82" t="s">
        <v>144</v>
      </c>
      <c r="K60" s="82" t="s">
        <v>145</v>
      </c>
      <c r="L60" s="82" t="s">
        <v>146</v>
      </c>
      <c r="M60" s="269" t="s">
        <v>147</v>
      </c>
      <c r="N60" s="82" t="s">
        <v>16</v>
      </c>
      <c r="O60" s="2"/>
    </row>
    <row r="61" spans="2:15" ht="14" customHeight="1" x14ac:dyDescent="0.35">
      <c r="B61" s="8" t="s">
        <v>27</v>
      </c>
      <c r="C61" s="45">
        <f t="shared" ref="C61:M61" si="19">C55</f>
        <v>2</v>
      </c>
      <c r="D61" s="45">
        <f t="shared" si="19"/>
        <v>3</v>
      </c>
      <c r="E61" s="45">
        <f t="shared" si="19"/>
        <v>11</v>
      </c>
      <c r="F61" s="45">
        <f t="shared" si="19"/>
        <v>5</v>
      </c>
      <c r="G61" s="45">
        <f t="shared" si="19"/>
        <v>4</v>
      </c>
      <c r="H61" s="45">
        <f t="shared" si="19"/>
        <v>6</v>
      </c>
      <c r="I61" s="45">
        <v>10</v>
      </c>
      <c r="J61" s="45">
        <v>10</v>
      </c>
      <c r="K61" s="45">
        <v>15</v>
      </c>
      <c r="L61" s="45">
        <v>10</v>
      </c>
      <c r="M61" s="274">
        <f t="shared" si="19"/>
        <v>0</v>
      </c>
      <c r="N61" s="45">
        <f>SUM(C61:L61)</f>
        <v>76</v>
      </c>
      <c r="O61" s="263"/>
    </row>
    <row r="62" spans="2:15" ht="14" customHeight="1" x14ac:dyDescent="0.35">
      <c r="B62" s="8" t="s">
        <v>37</v>
      </c>
      <c r="C62" s="179">
        <f>Assumptions!$N$68</f>
        <v>480</v>
      </c>
      <c r="D62" s="179">
        <f>Assumptions!$N$68</f>
        <v>480</v>
      </c>
      <c r="E62" s="179">
        <f>Assumptions!$N$68</f>
        <v>480</v>
      </c>
      <c r="F62" s="179">
        <f>Assumptions!$N$68</f>
        <v>480</v>
      </c>
      <c r="G62" s="179">
        <f>Assumptions!$N$68</f>
        <v>480</v>
      </c>
      <c r="H62" s="179">
        <f>Assumptions!$N$68</f>
        <v>480</v>
      </c>
      <c r="I62" s="179">
        <f>Assumptions!$N$68</f>
        <v>480</v>
      </c>
      <c r="J62" s="179">
        <f>Assumptions!$N$68</f>
        <v>480</v>
      </c>
      <c r="K62" s="179">
        <f>Assumptions!$N$68</f>
        <v>480</v>
      </c>
      <c r="L62" s="179">
        <f>Assumptions!$N$68</f>
        <v>480</v>
      </c>
      <c r="M62" s="275">
        <f>Assumptions!$N$68</f>
        <v>480</v>
      </c>
      <c r="N62" s="179">
        <f>Assumptions!$N$68</f>
        <v>480</v>
      </c>
      <c r="O62" s="264"/>
    </row>
    <row r="63" spans="2:15" ht="14" customHeight="1" x14ac:dyDescent="0.35">
      <c r="B63" s="10" t="s">
        <v>159</v>
      </c>
      <c r="C63" s="278">
        <f t="shared" ref="C63:N63" si="20">C62*C61</f>
        <v>960</v>
      </c>
      <c r="D63" s="278">
        <f t="shared" si="20"/>
        <v>1440</v>
      </c>
      <c r="E63" s="278">
        <f t="shared" si="20"/>
        <v>5280</v>
      </c>
      <c r="F63" s="278">
        <f t="shared" si="20"/>
        <v>2400</v>
      </c>
      <c r="G63" s="278">
        <f t="shared" si="20"/>
        <v>1920</v>
      </c>
      <c r="H63" s="278">
        <f t="shared" si="20"/>
        <v>2880</v>
      </c>
      <c r="I63" s="278">
        <f t="shared" si="20"/>
        <v>4800</v>
      </c>
      <c r="J63" s="278">
        <f t="shared" si="20"/>
        <v>4800</v>
      </c>
      <c r="K63" s="278">
        <f t="shared" si="20"/>
        <v>7200</v>
      </c>
      <c r="L63" s="278">
        <f t="shared" si="20"/>
        <v>4800</v>
      </c>
      <c r="M63" s="279">
        <f t="shared" si="20"/>
        <v>0</v>
      </c>
      <c r="N63" s="278">
        <f t="shared" si="20"/>
        <v>36480</v>
      </c>
      <c r="O63" s="267"/>
    </row>
    <row r="64" spans="2:15" ht="14" customHeight="1" x14ac:dyDescent="0.35">
      <c r="B64" s="10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66"/>
      <c r="N64" s="278"/>
      <c r="O64" s="267"/>
    </row>
    <row r="65" spans="2:15" ht="14" customHeight="1" x14ac:dyDescent="0.35">
      <c r="B65" s="10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66"/>
      <c r="N65" s="278"/>
      <c r="O65" s="267"/>
    </row>
    <row r="66" spans="2:15" ht="14" customHeight="1" x14ac:dyDescent="0.35">
      <c r="B66" s="10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66"/>
      <c r="N66" s="278"/>
      <c r="O66" s="267"/>
    </row>
    <row r="67" spans="2:15" ht="14" customHeight="1" x14ac:dyDescent="0.35">
      <c r="B67" s="10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66"/>
      <c r="N67" s="278"/>
      <c r="O67" s="267"/>
    </row>
    <row r="68" spans="2:15" ht="14" customHeight="1" x14ac:dyDescent="0.35">
      <c r="B68" s="10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66"/>
      <c r="N68" s="278"/>
      <c r="O68" s="267"/>
    </row>
    <row r="72" spans="2:15" ht="14" customHeight="1" x14ac:dyDescent="0.35">
      <c r="B72" s="7" t="s">
        <v>218</v>
      </c>
      <c r="C72" s="8"/>
      <c r="D72" s="117"/>
      <c r="E72" s="117"/>
      <c r="F72" s="117"/>
      <c r="G72" s="117"/>
      <c r="H72" s="8"/>
    </row>
    <row r="73" spans="2:15" ht="14" customHeight="1" x14ac:dyDescent="0.35">
      <c r="B73" s="12"/>
      <c r="C73" s="280" t="s">
        <v>149</v>
      </c>
      <c r="D73" s="280" t="s">
        <v>150</v>
      </c>
      <c r="E73" s="280" t="s">
        <v>139</v>
      </c>
      <c r="F73" s="280" t="s">
        <v>210</v>
      </c>
      <c r="G73" s="280" t="s">
        <v>141</v>
      </c>
      <c r="H73" s="280" t="s">
        <v>142</v>
      </c>
      <c r="I73" s="280" t="s">
        <v>143</v>
      </c>
      <c r="J73" s="280" t="s">
        <v>144</v>
      </c>
      <c r="K73" s="280" t="s">
        <v>145</v>
      </c>
      <c r="L73" s="280" t="s">
        <v>146</v>
      </c>
      <c r="M73" s="269" t="s">
        <v>147</v>
      </c>
      <c r="N73" s="281" t="s">
        <v>16</v>
      </c>
    </row>
    <row r="74" spans="2:15" ht="14" customHeight="1" x14ac:dyDescent="0.35">
      <c r="B74" s="10" t="s">
        <v>213</v>
      </c>
      <c r="C74" s="16">
        <f>C55</f>
        <v>2</v>
      </c>
      <c r="D74" s="16">
        <f t="shared" ref="D74:M74" si="21">D55</f>
        <v>3</v>
      </c>
      <c r="E74" s="16">
        <f t="shared" si="21"/>
        <v>11</v>
      </c>
      <c r="F74" s="16">
        <f t="shared" si="21"/>
        <v>5</v>
      </c>
      <c r="G74" s="16">
        <f t="shared" si="21"/>
        <v>4</v>
      </c>
      <c r="H74" s="16">
        <f t="shared" si="21"/>
        <v>6</v>
      </c>
      <c r="I74" s="16">
        <f t="shared" si="21"/>
        <v>6</v>
      </c>
      <c r="J74" s="16">
        <f t="shared" si="21"/>
        <v>8</v>
      </c>
      <c r="K74" s="16">
        <f t="shared" si="21"/>
        <v>11</v>
      </c>
      <c r="L74" s="16">
        <f t="shared" si="21"/>
        <v>8</v>
      </c>
      <c r="M74" s="272">
        <f t="shared" si="21"/>
        <v>0</v>
      </c>
      <c r="N74" s="277">
        <f>SUM(C74:M74)</f>
        <v>64</v>
      </c>
    </row>
    <row r="75" spans="2:15" ht="14" customHeight="1" x14ac:dyDescent="0.35">
      <c r="B75" s="10" t="s">
        <v>195</v>
      </c>
      <c r="C75" s="284">
        <v>150</v>
      </c>
      <c r="D75" s="284">
        <v>150</v>
      </c>
      <c r="E75" s="284">
        <v>150</v>
      </c>
      <c r="F75" s="284">
        <v>300</v>
      </c>
      <c r="G75" s="284">
        <v>300</v>
      </c>
      <c r="H75" s="284">
        <v>300</v>
      </c>
      <c r="I75" s="284">
        <v>300</v>
      </c>
      <c r="J75" s="284">
        <v>300</v>
      </c>
      <c r="K75" s="284">
        <v>300</v>
      </c>
      <c r="L75" s="284">
        <v>300</v>
      </c>
      <c r="M75" s="283">
        <v>0</v>
      </c>
      <c r="N75" s="285">
        <f>SUM(C75:L75)</f>
        <v>2550</v>
      </c>
    </row>
    <row r="80" spans="2:15" ht="14" customHeight="1" x14ac:dyDescent="0.35">
      <c r="B80" s="7" t="s">
        <v>219</v>
      </c>
      <c r="C80" s="8"/>
      <c r="D80" s="117"/>
      <c r="E80" s="117"/>
      <c r="F80" s="117"/>
      <c r="G80" s="117"/>
      <c r="H80" s="8"/>
      <c r="I80" s="3"/>
      <c r="J80" s="3"/>
      <c r="K80" s="3"/>
      <c r="L80" s="3"/>
      <c r="M80" s="3"/>
      <c r="N80" s="3"/>
      <c r="O80" s="3"/>
    </row>
    <row r="81" spans="2:15" ht="14" customHeight="1" x14ac:dyDescent="0.35">
      <c r="B81" s="12"/>
      <c r="C81" s="282" t="s">
        <v>149</v>
      </c>
      <c r="D81" s="282" t="s">
        <v>150</v>
      </c>
      <c r="E81" s="282" t="s">
        <v>139</v>
      </c>
      <c r="F81" s="282" t="s">
        <v>210</v>
      </c>
      <c r="G81" s="282" t="s">
        <v>141</v>
      </c>
      <c r="H81" s="282" t="s">
        <v>142</v>
      </c>
      <c r="I81" s="282" t="s">
        <v>143</v>
      </c>
      <c r="J81" s="282" t="s">
        <v>144</v>
      </c>
      <c r="K81" s="282" t="s">
        <v>145</v>
      </c>
      <c r="L81" s="282" t="s">
        <v>146</v>
      </c>
      <c r="M81" s="269" t="s">
        <v>147</v>
      </c>
      <c r="N81" s="282" t="s">
        <v>16</v>
      </c>
      <c r="O81" s="3"/>
    </row>
    <row r="82" spans="2:15" ht="14" customHeight="1" x14ac:dyDescent="0.35">
      <c r="B82" s="10" t="s">
        <v>76</v>
      </c>
      <c r="C82" s="292">
        <v>1400</v>
      </c>
      <c r="D82" s="292">
        <v>1400</v>
      </c>
      <c r="E82" s="292">
        <v>1400</v>
      </c>
      <c r="F82" s="292">
        <v>1400</v>
      </c>
      <c r="G82" s="292">
        <v>1400</v>
      </c>
      <c r="H82" s="292">
        <v>1400</v>
      </c>
      <c r="I82" s="292">
        <v>1400</v>
      </c>
      <c r="J82" s="292">
        <v>1400</v>
      </c>
      <c r="K82" s="292">
        <v>1400</v>
      </c>
      <c r="L82" s="292">
        <v>1400</v>
      </c>
      <c r="M82" s="293">
        <f>M63</f>
        <v>0</v>
      </c>
      <c r="N82" s="9">
        <f>SUM(C82:M82)</f>
        <v>14000</v>
      </c>
      <c r="O82" s="3"/>
    </row>
    <row r="83" spans="2:15" ht="14" customHeight="1" x14ac:dyDescent="0.35">
      <c r="B83" s="10" t="s">
        <v>77</v>
      </c>
      <c r="C83" s="286">
        <v>1200</v>
      </c>
      <c r="D83" s="286">
        <v>1200</v>
      </c>
      <c r="E83" s="286">
        <v>1200</v>
      </c>
      <c r="F83" s="286">
        <v>1200</v>
      </c>
      <c r="G83" s="286">
        <v>1200</v>
      </c>
      <c r="H83" s="286">
        <v>1200</v>
      </c>
      <c r="I83" s="286">
        <v>1200</v>
      </c>
      <c r="J83" s="286">
        <v>1200</v>
      </c>
      <c r="K83" s="286">
        <v>1200</v>
      </c>
      <c r="L83" s="286">
        <v>1200</v>
      </c>
      <c r="M83" s="287">
        <v>0</v>
      </c>
      <c r="N83" s="286">
        <f>SUM(C83:L83)</f>
        <v>12000</v>
      </c>
      <c r="O83" s="3"/>
    </row>
    <row r="84" spans="2:15" ht="14" customHeight="1" x14ac:dyDescent="0.35">
      <c r="B84" s="10" t="s">
        <v>220</v>
      </c>
      <c r="C84" s="294">
        <f>SUM(C82:C83)</f>
        <v>2600</v>
      </c>
      <c r="D84" s="294">
        <f t="shared" ref="D84:N84" si="22">SUM(D82:D83)</f>
        <v>2600</v>
      </c>
      <c r="E84" s="294">
        <f t="shared" si="22"/>
        <v>2600</v>
      </c>
      <c r="F84" s="294">
        <f t="shared" si="22"/>
        <v>2600</v>
      </c>
      <c r="G84" s="294">
        <f t="shared" si="22"/>
        <v>2600</v>
      </c>
      <c r="H84" s="294">
        <f t="shared" si="22"/>
        <v>2600</v>
      </c>
      <c r="I84" s="294">
        <f t="shared" si="22"/>
        <v>2600</v>
      </c>
      <c r="J84" s="294">
        <f t="shared" si="22"/>
        <v>2600</v>
      </c>
      <c r="K84" s="294">
        <f t="shared" si="22"/>
        <v>2600</v>
      </c>
      <c r="L84" s="294">
        <f t="shared" si="22"/>
        <v>2600</v>
      </c>
      <c r="M84" s="295">
        <f t="shared" si="22"/>
        <v>0</v>
      </c>
      <c r="N84" s="294">
        <f t="shared" si="22"/>
        <v>26000</v>
      </c>
      <c r="O84" s="3"/>
    </row>
    <row r="85" spans="2:15" s="268" customFormat="1" ht="14" customHeight="1" x14ac:dyDescent="0.35">
      <c r="B85" s="2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6"/>
    </row>
    <row r="86" spans="2:15" s="268" customFormat="1" ht="14" customHeight="1" x14ac:dyDescent="0.35">
      <c r="B86" s="2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6"/>
    </row>
    <row r="89" spans="2:15" ht="14" customHeight="1" x14ac:dyDescent="0.35">
      <c r="B89" s="7" t="s">
        <v>223</v>
      </c>
      <c r="C89" s="8"/>
      <c r="D89" s="117"/>
      <c r="E89" s="117"/>
      <c r="F89" s="117"/>
      <c r="G89" s="117"/>
      <c r="H89" s="8"/>
    </row>
    <row r="90" spans="2:15" ht="14" customHeight="1" x14ac:dyDescent="0.35">
      <c r="B90" s="12"/>
      <c r="C90" s="280" t="s">
        <v>149</v>
      </c>
      <c r="D90" s="280" t="s">
        <v>150</v>
      </c>
      <c r="E90" s="280" t="s">
        <v>139</v>
      </c>
      <c r="F90" s="280" t="s">
        <v>210</v>
      </c>
      <c r="G90" s="280" t="s">
        <v>141</v>
      </c>
      <c r="H90" s="280" t="s">
        <v>142</v>
      </c>
      <c r="I90" s="280" t="s">
        <v>143</v>
      </c>
      <c r="J90" s="280" t="s">
        <v>144</v>
      </c>
      <c r="K90" s="280" t="s">
        <v>145</v>
      </c>
      <c r="L90" s="280" t="s">
        <v>146</v>
      </c>
      <c r="M90" s="269" t="s">
        <v>147</v>
      </c>
      <c r="N90" s="281" t="s">
        <v>16</v>
      </c>
    </row>
    <row r="91" spans="2:15" ht="14" customHeight="1" x14ac:dyDescent="0.35">
      <c r="B91" s="10" t="s">
        <v>221</v>
      </c>
      <c r="C91" s="289">
        <v>320</v>
      </c>
      <c r="D91" s="289">
        <v>320</v>
      </c>
      <c r="E91" s="289">
        <v>320</v>
      </c>
      <c r="F91" s="289">
        <v>320</v>
      </c>
      <c r="G91" s="289">
        <v>320</v>
      </c>
      <c r="H91" s="289">
        <v>320</v>
      </c>
      <c r="I91" s="289">
        <v>320</v>
      </c>
      <c r="J91" s="289">
        <v>320</v>
      </c>
      <c r="K91" s="289">
        <v>320</v>
      </c>
      <c r="L91" s="289">
        <v>320</v>
      </c>
      <c r="M91" s="290">
        <f>M70</f>
        <v>0</v>
      </c>
      <c r="N91" s="291">
        <f>SUM(C91:M91)</f>
        <v>3200</v>
      </c>
    </row>
    <row r="92" spans="2:15" ht="14" customHeight="1" x14ac:dyDescent="0.35">
      <c r="B92" s="10" t="s">
        <v>222</v>
      </c>
      <c r="C92" s="264">
        <v>40</v>
      </c>
      <c r="D92" s="264">
        <v>40</v>
      </c>
      <c r="E92" s="264">
        <v>40</v>
      </c>
      <c r="F92" s="264">
        <v>40</v>
      </c>
      <c r="G92" s="264">
        <v>40</v>
      </c>
      <c r="H92" s="264">
        <v>40</v>
      </c>
      <c r="I92" s="264">
        <v>40</v>
      </c>
      <c r="J92" s="264">
        <v>40</v>
      </c>
      <c r="K92" s="264">
        <v>40</v>
      </c>
      <c r="L92" s="264">
        <v>40</v>
      </c>
      <c r="M92" s="283">
        <v>0</v>
      </c>
      <c r="N92" s="264">
        <f>SUM(C92:L92)</f>
        <v>400</v>
      </c>
    </row>
    <row r="93" spans="2:15" ht="14" customHeight="1" x14ac:dyDescent="0.35">
      <c r="B93" s="10" t="s">
        <v>224</v>
      </c>
      <c r="C93" s="296">
        <f t="shared" ref="C93:N93" si="23">SUM(C91:C92)</f>
        <v>360</v>
      </c>
      <c r="D93" s="296">
        <f t="shared" si="23"/>
        <v>360</v>
      </c>
      <c r="E93" s="296">
        <f t="shared" si="23"/>
        <v>360</v>
      </c>
      <c r="F93" s="296">
        <f t="shared" si="23"/>
        <v>360</v>
      </c>
      <c r="G93" s="296">
        <f t="shared" si="23"/>
        <v>360</v>
      </c>
      <c r="H93" s="296">
        <f t="shared" si="23"/>
        <v>360</v>
      </c>
      <c r="I93" s="296">
        <f t="shared" si="23"/>
        <v>360</v>
      </c>
      <c r="J93" s="296">
        <f t="shared" si="23"/>
        <v>360</v>
      </c>
      <c r="K93" s="296">
        <f t="shared" si="23"/>
        <v>360</v>
      </c>
      <c r="L93" s="296">
        <f t="shared" si="23"/>
        <v>360</v>
      </c>
      <c r="M93" s="295">
        <f t="shared" si="23"/>
        <v>0</v>
      </c>
      <c r="N93" s="296">
        <f t="shared" si="23"/>
        <v>3600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4C0AA-A27F-4B43-8CAF-DA7718F3C61F}">
  <dimension ref="C2:J11"/>
  <sheetViews>
    <sheetView workbookViewId="0">
      <selection activeCell="E13" sqref="E13"/>
    </sheetView>
  </sheetViews>
  <sheetFormatPr baseColWidth="10" defaultColWidth="8.7265625" defaultRowHeight="14.5" x14ac:dyDescent="0.35"/>
  <cols>
    <col min="4" max="4" width="20.453125" customWidth="1"/>
    <col min="5" max="5" width="12.36328125" customWidth="1"/>
    <col min="6" max="6" width="15.08984375" customWidth="1"/>
    <col min="7" max="7" width="13.08984375" customWidth="1"/>
    <col min="8" max="8" width="11.453125" customWidth="1"/>
    <col min="9" max="9" width="12.26953125" customWidth="1"/>
  </cols>
  <sheetData>
    <row r="2" spans="3:10" x14ac:dyDescent="0.35">
      <c r="C2" t="s">
        <v>262</v>
      </c>
      <c r="E2" s="125">
        <v>2019</v>
      </c>
      <c r="F2" s="125">
        <v>2020</v>
      </c>
      <c r="G2" s="125">
        <v>2021</v>
      </c>
      <c r="H2" s="125">
        <v>2022</v>
      </c>
      <c r="I2" s="125">
        <v>2023</v>
      </c>
      <c r="J2" s="125"/>
    </row>
    <row r="3" spans="3:10" x14ac:dyDescent="0.35">
      <c r="C3" t="s">
        <v>263</v>
      </c>
      <c r="D3" t="s">
        <v>265</v>
      </c>
      <c r="E3" s="416">
        <v>15000</v>
      </c>
      <c r="F3" s="416"/>
      <c r="G3" s="416"/>
      <c r="H3" s="416"/>
      <c r="I3" s="416"/>
    </row>
    <row r="4" spans="3:10" x14ac:dyDescent="0.35">
      <c r="C4" t="s">
        <v>264</v>
      </c>
      <c r="D4" t="s">
        <v>266</v>
      </c>
      <c r="E4" s="416">
        <v>20000</v>
      </c>
      <c r="F4" s="416"/>
      <c r="G4" s="416"/>
      <c r="H4" s="416"/>
      <c r="I4" s="416"/>
    </row>
    <row r="5" spans="3:10" x14ac:dyDescent="0.35">
      <c r="C5" t="s">
        <v>267</v>
      </c>
      <c r="D5" t="s">
        <v>268</v>
      </c>
      <c r="E5" s="416"/>
      <c r="F5" s="416">
        <f>(15%*SUM(E3:E4))+(2*SUM(E3:E4))</f>
        <v>75250</v>
      </c>
      <c r="G5" s="416">
        <f>(15%*SUM(F3:F5))+(4*SUM(F3:F5))</f>
        <v>312287.5</v>
      </c>
      <c r="H5" s="416">
        <f>(15%*SUM(G3:G5))+(2*SUM(G3:G5))</f>
        <v>671418.125</v>
      </c>
      <c r="I5" s="416">
        <f>(15%*SUM(H3:H5))+(2*SUM(H3:H5))</f>
        <v>1443548.96875</v>
      </c>
    </row>
    <row r="6" spans="3:10" x14ac:dyDescent="0.35">
      <c r="E6" s="416"/>
      <c r="F6" s="416"/>
      <c r="G6" s="416"/>
      <c r="H6" s="416"/>
      <c r="I6" s="416"/>
    </row>
    <row r="7" spans="3:10" x14ac:dyDescent="0.35">
      <c r="C7" s="125" t="s">
        <v>269</v>
      </c>
      <c r="D7" s="125"/>
      <c r="E7" s="418">
        <f>SUM(E3:E6)</f>
        <v>35000</v>
      </c>
      <c r="F7" s="418">
        <f t="shared" ref="F7:I7" si="0">SUM(F3:F6)</f>
        <v>75250</v>
      </c>
      <c r="G7" s="418">
        <f t="shared" si="0"/>
        <v>312287.5</v>
      </c>
      <c r="H7" s="418">
        <f t="shared" si="0"/>
        <v>671418.125</v>
      </c>
      <c r="I7" s="418">
        <f t="shared" si="0"/>
        <v>1443548.96875</v>
      </c>
    </row>
    <row r="8" spans="3:10" x14ac:dyDescent="0.35">
      <c r="E8" s="416"/>
      <c r="F8" s="416"/>
      <c r="G8" s="416"/>
      <c r="H8" s="416"/>
      <c r="I8" s="416"/>
    </row>
    <row r="9" spans="3:10" x14ac:dyDescent="0.35">
      <c r="C9" s="125" t="s">
        <v>271</v>
      </c>
      <c r="D9" s="125"/>
      <c r="E9" s="418"/>
      <c r="F9" s="418"/>
      <c r="G9" s="418"/>
      <c r="H9" s="418"/>
      <c r="I9" s="418"/>
    </row>
    <row r="10" spans="3:10" x14ac:dyDescent="0.35">
      <c r="C10" s="125"/>
      <c r="D10" s="413" t="s">
        <v>272</v>
      </c>
      <c r="E10" s="413"/>
      <c r="F10" s="419" t="s">
        <v>273</v>
      </c>
      <c r="G10" s="418"/>
      <c r="H10" s="418"/>
      <c r="I10" s="418"/>
    </row>
    <row r="11" spans="3:10" x14ac:dyDescent="0.35">
      <c r="D11" s="413" t="s">
        <v>274</v>
      </c>
      <c r="E11" s="413"/>
      <c r="F11" s="413" t="s">
        <v>273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65FC0-2C6A-43F4-8301-C8D6911E73FC}">
  <dimension ref="C3:XEZ28"/>
  <sheetViews>
    <sheetView showGridLines="0" tabSelected="1" zoomScale="90" zoomScaleNormal="90" workbookViewId="0">
      <selection activeCell="D15" sqref="D15"/>
    </sheetView>
  </sheetViews>
  <sheetFormatPr baseColWidth="10" defaultColWidth="14.6328125" defaultRowHeight="14" customHeight="1" x14ac:dyDescent="0.35"/>
  <cols>
    <col min="3" max="3" width="21.90625" bestFit="1" customWidth="1"/>
    <col min="4" max="4" width="9.54296875" customWidth="1"/>
  </cols>
  <sheetData>
    <row r="3" spans="3:16" ht="14" customHeight="1" thickBot="1" x14ac:dyDescent="0.4"/>
    <row r="4" spans="3:16" ht="14" customHeight="1" x14ac:dyDescent="0.35">
      <c r="C4" s="21" t="s">
        <v>46</v>
      </c>
      <c r="D4" s="21">
        <v>2018</v>
      </c>
      <c r="E4" s="22">
        <v>2019</v>
      </c>
      <c r="F4" s="22">
        <v>2020</v>
      </c>
      <c r="G4" s="22">
        <v>2021</v>
      </c>
      <c r="H4" s="22">
        <v>2022</v>
      </c>
      <c r="I4" s="22">
        <v>2023</v>
      </c>
      <c r="J4" s="22" t="s">
        <v>16</v>
      </c>
    </row>
    <row r="5" spans="3:16" s="298" customFormat="1" ht="14" customHeight="1" x14ac:dyDescent="0.35">
      <c r="C5" s="21" t="s">
        <v>244</v>
      </c>
      <c r="D5" s="373">
        <f>SUM(Cargatucoche!C22:D22)</f>
        <v>5</v>
      </c>
      <c r="E5" s="373">
        <f>Income!C194+SUM(Cargatucoche!E22:L22)</f>
        <v>155.96</v>
      </c>
      <c r="F5" s="373">
        <f>Income!D194</f>
        <v>886.59119550000014</v>
      </c>
      <c r="G5" s="373">
        <f>Income!E194</f>
        <v>4968.3243327999999</v>
      </c>
      <c r="H5" s="373">
        <f>Income!F194</f>
        <v>19415.542208000003</v>
      </c>
      <c r="I5" s="373">
        <f>Income!G194</f>
        <v>65566.265395199996</v>
      </c>
      <c r="J5" s="373">
        <f>SUM(D5:I5)</f>
        <v>90997.683131500002</v>
      </c>
    </row>
    <row r="6" spans="3:16" s="298" customFormat="1" ht="14" customHeight="1" x14ac:dyDescent="0.35">
      <c r="C6" s="21" t="s">
        <v>226</v>
      </c>
      <c r="D6" s="21"/>
      <c r="E6" s="375">
        <f>'Forecast Users'!C95</f>
        <v>0</v>
      </c>
      <c r="F6" s="375">
        <f>'Forecast Users'!D95</f>
        <v>1404.6196229899442</v>
      </c>
      <c r="G6" s="375">
        <f>'Forecast Users'!E95</f>
        <v>10438.948063702239</v>
      </c>
      <c r="H6" s="375">
        <f>'Forecast Users'!F95</f>
        <v>56253.401673332017</v>
      </c>
      <c r="I6" s="375">
        <f>'Forecast Users'!G95</f>
        <v>235721.5228819988</v>
      </c>
      <c r="J6" s="375">
        <f>I6</f>
        <v>235721.5228819988</v>
      </c>
    </row>
    <row r="7" spans="3:16" ht="14" customHeight="1" x14ac:dyDescent="0.35">
      <c r="C7" s="254" t="s">
        <v>201</v>
      </c>
      <c r="D7" s="255">
        <f>SUM(Cargatucoche!C7:D7)</f>
        <v>3300</v>
      </c>
      <c r="E7" s="255">
        <f>Income!C180+SUM(Cargatucoche!E7:M7)</f>
        <v>96071.360000000015</v>
      </c>
      <c r="F7" s="255">
        <f>Income!D180</f>
        <v>491526.15878519998</v>
      </c>
      <c r="G7" s="255">
        <f>Income!E180</f>
        <v>2478995.1090938882</v>
      </c>
      <c r="H7" s="255">
        <f>Income!F180</f>
        <v>7750063.1520829443</v>
      </c>
      <c r="I7" s="255">
        <f>Income!G180</f>
        <v>20937564.020216957</v>
      </c>
      <c r="J7" s="255">
        <f>SUM(E7:I7)</f>
        <v>31754219.80017899</v>
      </c>
    </row>
    <row r="8" spans="3:16" ht="14" customHeight="1" x14ac:dyDescent="0.35">
      <c r="C8" s="254" t="s">
        <v>200</v>
      </c>
      <c r="D8" s="255">
        <f>SUM(Cargatucoche!C8:D8)</f>
        <v>4000</v>
      </c>
      <c r="E8" s="255">
        <f>Income!C181+SUM(Cargatucoche!E8:M8)</f>
        <v>124768.00000000001</v>
      </c>
      <c r="F8" s="255">
        <f>Income!D181</f>
        <v>638345.66076000012</v>
      </c>
      <c r="G8" s="255">
        <f>Income!E181</f>
        <v>3219474.1676544002</v>
      </c>
      <c r="H8" s="255">
        <f>Income!F181</f>
        <v>10065017.080627199</v>
      </c>
      <c r="I8" s="255">
        <f>Income!G181</f>
        <v>27191641.584697347</v>
      </c>
      <c r="J8" s="255">
        <f>SUM(E8:I8)</f>
        <v>41239246.493738949</v>
      </c>
    </row>
    <row r="9" spans="3:16" s="298" customFormat="1" ht="14" customHeight="1" x14ac:dyDescent="0.35">
      <c r="C9" s="254" t="s">
        <v>243</v>
      </c>
      <c r="D9" s="255"/>
      <c r="E9" s="255">
        <f>Income!C182</f>
        <v>0</v>
      </c>
      <c r="F9" s="255">
        <f>Income!D182</f>
        <v>80947.200000000012</v>
      </c>
      <c r="G9" s="255">
        <f>Income!E182</f>
        <v>817700.72651927616</v>
      </c>
      <c r="H9" s="255">
        <f>Income!F182</f>
        <v>5148133.136319981</v>
      </c>
      <c r="I9" s="255">
        <f>Income!G182</f>
        <v>22526639.356147971</v>
      </c>
      <c r="J9" s="255">
        <f>SUM(E9:I9)</f>
        <v>28573420.418987229</v>
      </c>
    </row>
    <row r="10" spans="3:16" ht="14" customHeight="1" x14ac:dyDescent="0.35">
      <c r="C10" s="248" t="s">
        <v>38</v>
      </c>
      <c r="D10" s="244">
        <f>SUM(D7:D8)</f>
        <v>7300</v>
      </c>
      <c r="E10" s="244">
        <f>SUM(E7:E9)</f>
        <v>220839.36000000004</v>
      </c>
      <c r="F10" s="244">
        <f t="shared" ref="F10:I10" si="0">SUM(F7:F9)</f>
        <v>1210819.0195452</v>
      </c>
      <c r="G10" s="244">
        <f t="shared" si="0"/>
        <v>6516170.0032675648</v>
      </c>
      <c r="H10" s="244">
        <f t="shared" si="0"/>
        <v>22963213.369030125</v>
      </c>
      <c r="I10" s="244">
        <f t="shared" si="0"/>
        <v>70655844.961062282</v>
      </c>
      <c r="J10" s="244">
        <f>SUM(J7:J9)</f>
        <v>101566886.71290517</v>
      </c>
      <c r="K10" s="420"/>
      <c r="L10" s="420"/>
      <c r="M10" s="420"/>
      <c r="N10" s="268"/>
      <c r="O10" s="268"/>
    </row>
    <row r="11" spans="3:16" ht="14" customHeight="1" x14ac:dyDescent="0.35">
      <c r="C11" s="252" t="s">
        <v>202</v>
      </c>
      <c r="D11" s="250">
        <f>SUM(Cargatucoche!C40:D40)</f>
        <v>2805</v>
      </c>
      <c r="E11" s="250">
        <f>'Cost of Sales'!C140+SUM(Cargatucoche!E40:L40)</f>
        <v>79945.096000000005</v>
      </c>
      <c r="F11" s="250">
        <f>'Cost of Sales'!D140</f>
        <v>388885.21392070496</v>
      </c>
      <c r="G11" s="250">
        <f>'Cost of Sales'!E140</f>
        <v>1860467.9372312282</v>
      </c>
      <c r="H11" s="250">
        <f>'Cost of Sales'!F140</f>
        <v>5457242.2041395754</v>
      </c>
      <c r="I11" s="250">
        <f>'Cost of Sales'!G140</f>
        <v>13816263.086226821</v>
      </c>
      <c r="J11" s="251">
        <f>SUM(E11:I11)</f>
        <v>21602803.53751833</v>
      </c>
      <c r="K11" s="268"/>
      <c r="L11" s="268"/>
      <c r="M11" s="268"/>
      <c r="N11" s="268"/>
      <c r="O11" s="268"/>
    </row>
    <row r="12" spans="3:16" ht="14" customHeight="1" x14ac:dyDescent="0.35">
      <c r="C12" s="253" t="s">
        <v>203</v>
      </c>
      <c r="D12" s="250">
        <f>SUM(Cargatucoche!C41:D41)</f>
        <v>2400</v>
      </c>
      <c r="E12" s="250">
        <f>'Cost of Sales'!C141+SUM(Cargatucoche!E41:L41)</f>
        <v>80620.800000000003</v>
      </c>
      <c r="F12" s="250">
        <f>'Cost of Sales'!D141</f>
        <v>361729.20776400005</v>
      </c>
      <c r="G12" s="250">
        <f>'Cost of Sales'!E141</f>
        <v>1723014.8786150401</v>
      </c>
      <c r="H12" s="250">
        <f>'Cost of Sales'!F141</f>
        <v>5049982.5283008004</v>
      </c>
      <c r="I12" s="250">
        <f>'Cost of Sales'!G141</f>
        <v>12790339.221968642</v>
      </c>
      <c r="J12" s="251">
        <f>SUM(E12:I12)</f>
        <v>20005686.636648484</v>
      </c>
      <c r="K12" s="268"/>
      <c r="L12" s="268"/>
      <c r="M12" s="268"/>
      <c r="N12" s="268"/>
      <c r="O12" s="268"/>
    </row>
    <row r="13" spans="3:16" s="298" customFormat="1" ht="14" customHeight="1" x14ac:dyDescent="0.35">
      <c r="C13" s="253" t="s">
        <v>255</v>
      </c>
      <c r="D13" s="371"/>
      <c r="E13" s="371">
        <f>E9*0.95</f>
        <v>0</v>
      </c>
      <c r="F13" s="371">
        <f t="shared" ref="F13:I13" si="1">F9*0.95</f>
        <v>76899.840000000011</v>
      </c>
      <c r="G13" s="371">
        <f t="shared" si="1"/>
        <v>776815.69019331236</v>
      </c>
      <c r="H13" s="371">
        <f t="shared" si="1"/>
        <v>4890726.4795039818</v>
      </c>
      <c r="I13" s="371">
        <f t="shared" si="1"/>
        <v>21400307.38834057</v>
      </c>
      <c r="J13" s="372">
        <f>SUM(E13:I13)</f>
        <v>27144749.398037866</v>
      </c>
      <c r="K13" s="268"/>
      <c r="L13" s="268"/>
      <c r="M13" s="268"/>
      <c r="N13" s="268"/>
      <c r="O13" s="268"/>
    </row>
    <row r="14" spans="3:16" ht="14" customHeight="1" x14ac:dyDescent="0.35">
      <c r="C14" s="256" t="s">
        <v>206</v>
      </c>
      <c r="D14" s="257">
        <f>SUM(D11:D12)</f>
        <v>5205</v>
      </c>
      <c r="E14" s="257">
        <f>SUM(E11:E13)</f>
        <v>160565.89600000001</v>
      </c>
      <c r="F14" s="257">
        <f t="shared" ref="F14:I14" si="2">SUM(F11:F13)</f>
        <v>827514.26168470492</v>
      </c>
      <c r="G14" s="257">
        <f t="shared" si="2"/>
        <v>4360298.5060395803</v>
      </c>
      <c r="H14" s="257">
        <f t="shared" si="2"/>
        <v>15397951.211944357</v>
      </c>
      <c r="I14" s="257">
        <f t="shared" si="2"/>
        <v>48006909.696536034</v>
      </c>
      <c r="J14" s="258">
        <f>SUM(E14:I14)</f>
        <v>68753239.572204679</v>
      </c>
      <c r="K14" s="268"/>
      <c r="L14" s="268"/>
      <c r="M14" s="268"/>
      <c r="N14" s="268"/>
      <c r="O14" s="268"/>
    </row>
    <row r="15" spans="3:16" ht="14" customHeight="1" x14ac:dyDescent="0.35">
      <c r="C15" s="249" t="s">
        <v>205</v>
      </c>
      <c r="D15" s="245">
        <f t="shared" ref="D15:J15" si="3">D10-D14</f>
        <v>2095</v>
      </c>
      <c r="E15" s="245">
        <f t="shared" si="3"/>
        <v>60273.464000000036</v>
      </c>
      <c r="F15" s="245">
        <f t="shared" si="3"/>
        <v>383304.75786049513</v>
      </c>
      <c r="G15" s="245">
        <f t="shared" si="3"/>
        <v>2155871.4972279845</v>
      </c>
      <c r="H15" s="245">
        <f t="shared" si="3"/>
        <v>7565262.1570857689</v>
      </c>
      <c r="I15" s="245">
        <f t="shared" si="3"/>
        <v>22648935.264526248</v>
      </c>
      <c r="J15" s="245">
        <f t="shared" si="3"/>
        <v>32813647.140700489</v>
      </c>
      <c r="K15" s="421">
        <f>D15/D10</f>
        <v>0.28698630136986303</v>
      </c>
      <c r="L15" s="421">
        <f t="shared" ref="L15:N15" si="4">E15/E10</f>
        <v>0.27292899236802726</v>
      </c>
      <c r="M15" s="421">
        <f t="shared" si="4"/>
        <v>0.31656651545205289</v>
      </c>
      <c r="N15" s="421">
        <f t="shared" si="4"/>
        <v>0.33084948614706372</v>
      </c>
      <c r="O15" s="421">
        <f t="shared" ref="O15" si="5">H15/H10</f>
        <v>0.32945137231049887</v>
      </c>
      <c r="P15" s="422">
        <f t="shared" ref="P15" si="6">I15/I10</f>
        <v>0.32055288953104794</v>
      </c>
    </row>
    <row r="16" spans="3:16" ht="14" customHeight="1" x14ac:dyDescent="0.35">
      <c r="C16" s="249" t="s">
        <v>207</v>
      </c>
      <c r="D16" s="249"/>
      <c r="E16" s="245"/>
      <c r="F16" s="245"/>
      <c r="G16" s="245"/>
      <c r="H16" s="245"/>
      <c r="I16" s="245"/>
      <c r="J16" s="245"/>
      <c r="K16" s="268"/>
      <c r="L16" s="268"/>
      <c r="M16" s="268"/>
      <c r="N16" s="268"/>
      <c r="O16" s="268"/>
    </row>
    <row r="17" spans="3:15 16380:16380" ht="14" customHeight="1" x14ac:dyDescent="0.35">
      <c r="C17" s="253" t="s">
        <v>73</v>
      </c>
      <c r="D17" s="250">
        <f>SUM(Cargatucoche!C75:D75)</f>
        <v>300</v>
      </c>
      <c r="E17" s="250">
        <f>Marketing!C24+SUM(Cargatucoche!E75:L75)</f>
        <v>7033.36</v>
      </c>
      <c r="F17" s="250">
        <f>Marketing!D24</f>
        <v>43738.498978000003</v>
      </c>
      <c r="G17" s="250">
        <f>Marketing!E24</f>
        <v>245104.00041813334</v>
      </c>
      <c r="H17" s="250">
        <f>Marketing!F24</f>
        <v>957833.41559466673</v>
      </c>
      <c r="I17" s="250">
        <f>Marketing!G24</f>
        <v>3234602.4261631998</v>
      </c>
      <c r="J17" s="251">
        <f>SUM(E17:I17)</f>
        <v>4488311.7011540001</v>
      </c>
      <c r="K17" s="268"/>
      <c r="L17" s="268"/>
      <c r="M17" s="268"/>
      <c r="N17" s="268"/>
      <c r="O17" s="268"/>
    </row>
    <row r="18" spans="3:15 16380:16380" s="412" customFormat="1" ht="14" customHeight="1" x14ac:dyDescent="0.35">
      <c r="C18" s="253" t="s">
        <v>270</v>
      </c>
      <c r="D18" s="250"/>
      <c r="E18" s="250">
        <f>'Inversion Software'!E7</f>
        <v>35000</v>
      </c>
      <c r="F18" s="250">
        <f>'Inversion Software'!F7</f>
        <v>75250</v>
      </c>
      <c r="G18" s="250">
        <f>'Inversion Software'!G7</f>
        <v>312287.5</v>
      </c>
      <c r="H18" s="250">
        <f>'Inversion Software'!H7</f>
        <v>671418.125</v>
      </c>
      <c r="I18" s="250">
        <f>'Inversion Software'!I7</f>
        <v>1443548.96875</v>
      </c>
      <c r="J18" s="251"/>
      <c r="K18" s="268"/>
      <c r="L18" s="268"/>
      <c r="M18" s="268"/>
      <c r="N18" s="268"/>
      <c r="O18" s="268"/>
    </row>
    <row r="19" spans="3:15 16380:16380" ht="14" customHeight="1" x14ac:dyDescent="0.35">
      <c r="C19" s="253" t="s">
        <v>204</v>
      </c>
      <c r="D19" s="250">
        <f>SUM(Cargatucoche!C84:D84)</f>
        <v>5200</v>
      </c>
      <c r="E19" s="250">
        <f>'RRHH Team'!C51+SUM(Cargatucoche!E84:L84,Cargatucoche!E93:L93)</f>
        <v>65680</v>
      </c>
      <c r="F19" s="250">
        <f>'RRHH Team'!D51</f>
        <v>385815</v>
      </c>
      <c r="G19" s="250">
        <f>'RRHH Team'!E51</f>
        <v>1323142.8571428573</v>
      </c>
      <c r="H19" s="250">
        <f>'RRHH Team'!F51</f>
        <v>2425761.9047619049</v>
      </c>
      <c r="I19" s="250">
        <f>'RRHH Team'!G51</f>
        <v>3307857.1428571432</v>
      </c>
      <c r="J19" s="251">
        <f>SUM(E19:I19)</f>
        <v>7508256.9047619049</v>
      </c>
      <c r="K19" s="268"/>
      <c r="L19" s="268"/>
      <c r="M19" s="268"/>
      <c r="N19" s="268"/>
      <c r="O19" s="268"/>
    </row>
    <row r="20" spans="3:15 16380:16380" ht="14" customHeight="1" x14ac:dyDescent="0.35">
      <c r="C20" s="253" t="s">
        <v>208</v>
      </c>
      <c r="D20" s="250">
        <v>0</v>
      </c>
      <c r="E20" s="250">
        <v>0</v>
      </c>
      <c r="F20" s="250">
        <v>0</v>
      </c>
      <c r="G20" s="250">
        <v>0</v>
      </c>
      <c r="H20" s="250">
        <v>0</v>
      </c>
      <c r="I20" s="250">
        <v>0</v>
      </c>
      <c r="J20" s="251">
        <v>0</v>
      </c>
      <c r="K20" s="268"/>
      <c r="L20" s="268"/>
      <c r="M20" s="268"/>
      <c r="N20" s="268"/>
      <c r="O20" s="268"/>
    </row>
    <row r="21" spans="3:15 16380:16380" ht="14" customHeight="1" x14ac:dyDescent="0.35">
      <c r="C21" s="256" t="s">
        <v>209</v>
      </c>
      <c r="D21" s="259">
        <f t="shared" ref="D21:I21" si="7">SUM(D17:D20)</f>
        <v>5500</v>
      </c>
      <c r="E21" s="259">
        <f t="shared" si="7"/>
        <v>107713.36</v>
      </c>
      <c r="F21" s="259">
        <f t="shared" si="7"/>
        <v>504803.49897800002</v>
      </c>
      <c r="G21" s="259">
        <f t="shared" si="7"/>
        <v>1880534.3575609906</v>
      </c>
      <c r="H21" s="259">
        <f t="shared" si="7"/>
        <v>4055013.4453565716</v>
      </c>
      <c r="I21" s="259">
        <f t="shared" si="7"/>
        <v>7986008.5377703439</v>
      </c>
      <c r="J21" s="260">
        <f>SUM(E21:I21)</f>
        <v>14534073.199665906</v>
      </c>
      <c r="K21" s="420"/>
      <c r="L21" s="420"/>
      <c r="M21" s="420"/>
      <c r="N21" s="420"/>
      <c r="O21" s="420"/>
      <c r="XEZ21" s="250"/>
    </row>
    <row r="22" spans="3:15 16380:16380" ht="14" customHeight="1" x14ac:dyDescent="0.35">
      <c r="C22" s="24" t="s">
        <v>39</v>
      </c>
      <c r="D22" s="261">
        <f t="shared" ref="D22:J22" si="8">D15-D21</f>
        <v>-3405</v>
      </c>
      <c r="E22" s="261">
        <f t="shared" si="8"/>
        <v>-47439.895999999964</v>
      </c>
      <c r="F22" s="261">
        <f t="shared" si="8"/>
        <v>-121498.74111750489</v>
      </c>
      <c r="G22" s="261">
        <f t="shared" si="8"/>
        <v>275337.13966699387</v>
      </c>
      <c r="H22" s="261">
        <f t="shared" si="8"/>
        <v>3510248.7117291973</v>
      </c>
      <c r="I22" s="261">
        <f t="shared" si="8"/>
        <v>14662926.726755904</v>
      </c>
      <c r="J22" s="261">
        <f t="shared" si="8"/>
        <v>18279573.941034585</v>
      </c>
      <c r="K22" s="268"/>
      <c r="L22" s="268"/>
      <c r="M22" s="268"/>
      <c r="N22" s="268"/>
      <c r="O22" s="268"/>
    </row>
    <row r="23" spans="3:15 16380:16380" ht="14" customHeight="1" x14ac:dyDescent="0.35">
      <c r="C23" s="23" t="s">
        <v>40</v>
      </c>
      <c r="D23" s="247">
        <f>0</f>
        <v>0</v>
      </c>
      <c r="E23" s="247">
        <f>0</f>
        <v>0</v>
      </c>
      <c r="F23" s="247">
        <v>0</v>
      </c>
      <c r="G23" s="247">
        <v>0</v>
      </c>
      <c r="H23" s="247">
        <v>0</v>
      </c>
      <c r="I23" s="247">
        <v>0</v>
      </c>
      <c r="J23" s="246">
        <f>SUM(E23:I23)</f>
        <v>0</v>
      </c>
      <c r="K23" s="268"/>
      <c r="L23" s="268"/>
      <c r="M23" s="268"/>
      <c r="N23" s="268"/>
      <c r="O23" s="268"/>
    </row>
    <row r="24" spans="3:15 16380:16380" ht="14" customHeight="1" x14ac:dyDescent="0.35">
      <c r="C24" s="24" t="s">
        <v>41</v>
      </c>
      <c r="D24" s="261">
        <f t="shared" ref="D24:J24" si="9">D22-D23</f>
        <v>-3405</v>
      </c>
      <c r="E24" s="261">
        <f t="shared" si="9"/>
        <v>-47439.895999999964</v>
      </c>
      <c r="F24" s="261">
        <f t="shared" si="9"/>
        <v>-121498.74111750489</v>
      </c>
      <c r="G24" s="261">
        <f t="shared" si="9"/>
        <v>275337.13966699387</v>
      </c>
      <c r="H24" s="261">
        <f t="shared" si="9"/>
        <v>3510248.7117291973</v>
      </c>
      <c r="I24" s="261">
        <f t="shared" si="9"/>
        <v>14662926.726755904</v>
      </c>
      <c r="J24" s="261">
        <f t="shared" si="9"/>
        <v>18279573.941034585</v>
      </c>
      <c r="K24" s="268"/>
      <c r="L24" s="268"/>
      <c r="M24" s="268"/>
      <c r="N24" s="268"/>
      <c r="O24" s="268"/>
    </row>
    <row r="25" spans="3:15 16380:16380" ht="14" customHeight="1" x14ac:dyDescent="0.35">
      <c r="C25" s="23" t="s">
        <v>42</v>
      </c>
      <c r="D25" s="247">
        <v>0</v>
      </c>
      <c r="E25" s="247">
        <v>0</v>
      </c>
      <c r="F25" s="247">
        <v>0</v>
      </c>
      <c r="G25" s="247">
        <v>0</v>
      </c>
      <c r="H25" s="247">
        <v>0</v>
      </c>
      <c r="I25" s="247">
        <v>0</v>
      </c>
      <c r="J25" s="246">
        <v>0</v>
      </c>
      <c r="K25" s="268"/>
      <c r="L25" s="268"/>
      <c r="M25" s="268"/>
      <c r="N25" s="268"/>
      <c r="O25" s="268"/>
    </row>
    <row r="26" spans="3:15 16380:16380" ht="14" customHeight="1" x14ac:dyDescent="0.35">
      <c r="C26" s="24" t="s">
        <v>43</v>
      </c>
      <c r="D26" s="261">
        <f t="shared" ref="D26:I26" si="10">SUM(D24+D25)</f>
        <v>-3405</v>
      </c>
      <c r="E26" s="261">
        <f t="shared" si="10"/>
        <v>-47439.895999999964</v>
      </c>
      <c r="F26" s="261">
        <f t="shared" si="10"/>
        <v>-121498.74111750489</v>
      </c>
      <c r="G26" s="261">
        <f t="shared" si="10"/>
        <v>275337.13966699387</v>
      </c>
      <c r="H26" s="261">
        <f t="shared" si="10"/>
        <v>3510248.7117291973</v>
      </c>
      <c r="I26" s="261">
        <f t="shared" si="10"/>
        <v>14662926.726755904</v>
      </c>
      <c r="J26" s="261">
        <f>SUM(E26:I26)</f>
        <v>18279573.941034589</v>
      </c>
      <c r="K26" s="268"/>
      <c r="L26" s="268"/>
      <c r="M26" s="268"/>
      <c r="N26" s="268"/>
      <c r="O26" s="268"/>
    </row>
    <row r="27" spans="3:15 16380:16380" ht="14" customHeight="1" x14ac:dyDescent="0.35">
      <c r="C27" s="25" t="s">
        <v>44</v>
      </c>
      <c r="D27" s="247">
        <v>0</v>
      </c>
      <c r="E27" s="247">
        <v>0</v>
      </c>
      <c r="F27" s="247">
        <v>0</v>
      </c>
      <c r="G27" s="247">
        <f>G26*0.25</f>
        <v>68834.284916748467</v>
      </c>
      <c r="H27" s="247">
        <f>H26*0.25</f>
        <v>877562.17793229932</v>
      </c>
      <c r="I27" s="247">
        <f>I26*0.25</f>
        <v>3665731.681688976</v>
      </c>
      <c r="J27" s="246">
        <f>SUM(E27:I27)</f>
        <v>4612128.1445380235</v>
      </c>
      <c r="K27" s="268"/>
      <c r="L27" s="268"/>
      <c r="M27" s="268"/>
      <c r="N27" s="268"/>
      <c r="O27" s="268"/>
    </row>
    <row r="28" spans="3:15 16380:16380" ht="14" customHeight="1" x14ac:dyDescent="0.35">
      <c r="C28" s="26" t="s">
        <v>45</v>
      </c>
      <c r="D28" s="297">
        <v>0</v>
      </c>
      <c r="E28" s="297">
        <v>0</v>
      </c>
      <c r="F28" s="297">
        <v>0</v>
      </c>
      <c r="G28" s="297">
        <f>G26-G27</f>
        <v>206502.8547502454</v>
      </c>
      <c r="H28" s="297">
        <f>H26-H27</f>
        <v>2632686.5337968981</v>
      </c>
      <c r="I28" s="297">
        <f>I26-I27</f>
        <v>10997195.045066928</v>
      </c>
      <c r="J28" s="297">
        <f>J26-J27</f>
        <v>13667445.796496566</v>
      </c>
      <c r="K28" s="268"/>
      <c r="L28" s="420"/>
      <c r="M28" s="420"/>
      <c r="N28" s="420"/>
      <c r="O28" s="268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B7D63-A728-4356-9CA4-44E0BE18AF86}">
  <dimension ref="A1:G9"/>
  <sheetViews>
    <sheetView showGridLines="0" zoomScale="70" zoomScaleNormal="70" workbookViewId="0">
      <selection activeCell="D3" sqref="D3"/>
    </sheetView>
  </sheetViews>
  <sheetFormatPr baseColWidth="10" defaultColWidth="14.6328125" defaultRowHeight="14" customHeight="1" x14ac:dyDescent="0.35"/>
  <cols>
    <col min="1" max="1" width="14.6328125" style="118"/>
    <col min="2" max="2" width="28.90625" style="118" customWidth="1"/>
    <col min="3" max="3" width="31.36328125" style="118" customWidth="1"/>
    <col min="4" max="4" width="33.1796875" style="118" customWidth="1"/>
    <col min="5" max="5" width="24.54296875" style="118" customWidth="1"/>
    <col min="6" max="6" width="28.7265625" style="118" customWidth="1"/>
    <col min="7" max="7" width="30.6328125" style="118" customWidth="1"/>
    <col min="8" max="16384" width="14.6328125" style="118"/>
  </cols>
  <sheetData>
    <row r="1" spans="1:7" ht="14" customHeight="1" x14ac:dyDescent="0.35">
      <c r="B1" s="120">
        <v>43709</v>
      </c>
      <c r="C1" s="120">
        <v>43800</v>
      </c>
      <c r="D1" s="120">
        <v>43922</v>
      </c>
      <c r="E1" s="120">
        <v>44044</v>
      </c>
      <c r="F1" s="120">
        <v>44075</v>
      </c>
      <c r="G1" s="120">
        <v>44166</v>
      </c>
    </row>
    <row r="2" spans="1:7" ht="14" customHeight="1" x14ac:dyDescent="0.35">
      <c r="B2" s="118" t="s">
        <v>59</v>
      </c>
      <c r="C2" s="118" t="s">
        <v>59</v>
      </c>
      <c r="D2" s="118" t="s">
        <v>53</v>
      </c>
      <c r="E2" s="118" t="s">
        <v>53</v>
      </c>
      <c r="F2" s="118" t="s">
        <v>62</v>
      </c>
      <c r="G2" s="118" t="s">
        <v>62</v>
      </c>
    </row>
    <row r="3" spans="1:7" ht="14" customHeight="1" x14ac:dyDescent="0.35">
      <c r="B3" s="118" t="s">
        <v>56</v>
      </c>
      <c r="C3" s="118" t="s">
        <v>56</v>
      </c>
      <c r="D3" s="118" t="s">
        <v>56</v>
      </c>
      <c r="E3" s="118" t="s">
        <v>56</v>
      </c>
      <c r="F3" s="118" t="s">
        <v>56</v>
      </c>
      <c r="G3" s="118" t="s">
        <v>56</v>
      </c>
    </row>
    <row r="4" spans="1:7" ht="32" customHeight="1" x14ac:dyDescent="0.35">
      <c r="B4" s="118" t="s">
        <v>58</v>
      </c>
      <c r="C4" s="118" t="s">
        <v>60</v>
      </c>
      <c r="D4" s="118" t="s">
        <v>65</v>
      </c>
      <c r="E4" s="118" t="s">
        <v>63</v>
      </c>
      <c r="F4" s="118" t="s">
        <v>64</v>
      </c>
      <c r="G4" s="118" t="s">
        <v>63</v>
      </c>
    </row>
    <row r="5" spans="1:7" ht="60" customHeight="1" x14ac:dyDescent="0.35">
      <c r="B5" s="118" t="s">
        <v>57</v>
      </c>
      <c r="C5" s="119" t="s">
        <v>61</v>
      </c>
    </row>
    <row r="6" spans="1:7" ht="81.5" customHeight="1" x14ac:dyDescent="0.35">
      <c r="B6" s="118" t="s">
        <v>66</v>
      </c>
      <c r="C6" s="118" t="s">
        <v>67</v>
      </c>
      <c r="D6" s="118" t="s">
        <v>68</v>
      </c>
      <c r="E6" s="118" t="s">
        <v>69</v>
      </c>
      <c r="F6" s="118" t="s">
        <v>70</v>
      </c>
      <c r="G6" s="118" t="s">
        <v>71</v>
      </c>
    </row>
    <row r="7" spans="1:7" ht="14" customHeight="1" x14ac:dyDescent="0.35">
      <c r="A7" s="118" t="s">
        <v>72</v>
      </c>
    </row>
    <row r="8" spans="1:7" ht="14" customHeight="1" x14ac:dyDescent="0.35">
      <c r="A8" s="118" t="s">
        <v>73</v>
      </c>
    </row>
    <row r="9" spans="1:7" ht="14" customHeight="1" x14ac:dyDescent="0.35">
      <c r="A9" s="118" t="s">
        <v>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18382-62C9-4D73-9644-4D64D5E3DE9F}">
  <dimension ref="B2:H56"/>
  <sheetViews>
    <sheetView topLeftCell="B1" workbookViewId="0">
      <selection activeCell="N37" sqref="N37"/>
    </sheetView>
  </sheetViews>
  <sheetFormatPr baseColWidth="10" defaultColWidth="8.7265625" defaultRowHeight="14.5" x14ac:dyDescent="0.35"/>
  <cols>
    <col min="3" max="3" width="10.90625" bestFit="1" customWidth="1"/>
    <col min="4" max="4" width="8.90625" bestFit="1" customWidth="1"/>
    <col min="5" max="6" width="10.1796875" bestFit="1" customWidth="1"/>
    <col min="7" max="8" width="11.1796875" bestFit="1" customWidth="1"/>
  </cols>
  <sheetData>
    <row r="2" spans="2:8" x14ac:dyDescent="0.35">
      <c r="B2" s="125" t="s">
        <v>257</v>
      </c>
    </row>
    <row r="4" spans="2:8" x14ac:dyDescent="0.35">
      <c r="C4" s="413"/>
      <c r="D4" s="413">
        <f>Assumptions!E5</f>
        <v>2019</v>
      </c>
      <c r="E4" s="413">
        <f>Assumptions!F5</f>
        <v>2020</v>
      </c>
      <c r="F4" s="413">
        <f>Assumptions!G5</f>
        <v>2021</v>
      </c>
      <c r="G4" s="413">
        <f>Assumptions!H5</f>
        <v>2022</v>
      </c>
      <c r="H4" s="413">
        <f>Assumptions!I5</f>
        <v>2023</v>
      </c>
    </row>
    <row r="5" spans="2:8" x14ac:dyDescent="0.35">
      <c r="C5" s="413" t="str">
        <f>Assumptions!B5</f>
        <v>SPAIN</v>
      </c>
      <c r="D5" s="414">
        <f>Assumptions!E12</f>
        <v>0.02</v>
      </c>
      <c r="E5" s="414">
        <f>Assumptions!F12</f>
        <v>0.03</v>
      </c>
      <c r="F5" s="414">
        <f>Assumptions!G12</f>
        <v>0.05</v>
      </c>
      <c r="G5" s="414">
        <f>Assumptions!H12</f>
        <v>0.08</v>
      </c>
      <c r="H5" s="414">
        <f>Assumptions!I12</f>
        <v>0.15</v>
      </c>
    </row>
    <row r="6" spans="2:8" x14ac:dyDescent="0.35">
      <c r="C6" s="413" t="str">
        <f>Assumptions!B19</f>
        <v>UK</v>
      </c>
      <c r="D6" s="414">
        <f>Assumptions!E26</f>
        <v>0</v>
      </c>
      <c r="E6" s="414">
        <f>Assumptions!F26</f>
        <v>0.01</v>
      </c>
      <c r="F6" s="414">
        <f>Assumptions!G26</f>
        <v>0.03</v>
      </c>
      <c r="G6" s="414">
        <f>Assumptions!H26</f>
        <v>0.05</v>
      </c>
      <c r="H6" s="414">
        <f>Assumptions!I26</f>
        <v>0.08</v>
      </c>
    </row>
    <row r="7" spans="2:8" x14ac:dyDescent="0.35">
      <c r="C7" s="413" t="str">
        <f>Assumptions!B33</f>
        <v>Germany</v>
      </c>
      <c r="D7" s="414">
        <f>Assumptions!E40</f>
        <v>0</v>
      </c>
      <c r="E7" s="414">
        <f>Assumptions!F40</f>
        <v>0</v>
      </c>
      <c r="F7" s="414">
        <f>Assumptions!G40</f>
        <v>0.01</v>
      </c>
      <c r="G7" s="414">
        <f>Assumptions!H40</f>
        <v>0.03</v>
      </c>
      <c r="H7" s="414">
        <f>Assumptions!I40</f>
        <v>0.05</v>
      </c>
    </row>
    <row r="8" spans="2:8" x14ac:dyDescent="0.35">
      <c r="C8" s="413" t="str">
        <f>Assumptions!B47</f>
        <v>France</v>
      </c>
      <c r="D8" s="414">
        <f>Assumptions!E54</f>
        <v>0</v>
      </c>
      <c r="E8" s="414">
        <f>Assumptions!F54</f>
        <v>0</v>
      </c>
      <c r="F8" s="414">
        <f>Assumptions!G54</f>
        <v>0.01</v>
      </c>
      <c r="G8" s="414">
        <f>Assumptions!H54</f>
        <v>0.03</v>
      </c>
      <c r="H8" s="414">
        <f>Assumptions!I54</f>
        <v>0.05</v>
      </c>
    </row>
    <row r="19" spans="2:8" x14ac:dyDescent="0.35">
      <c r="B19" s="125" t="s">
        <v>258</v>
      </c>
      <c r="D19">
        <f>D4</f>
        <v>2019</v>
      </c>
      <c r="E19" s="411">
        <f t="shared" ref="E19:H19" si="0">E4</f>
        <v>2020</v>
      </c>
      <c r="F19" s="411">
        <f t="shared" si="0"/>
        <v>2021</v>
      </c>
      <c r="G19" s="411">
        <f t="shared" si="0"/>
        <v>2022</v>
      </c>
      <c r="H19" s="411">
        <f t="shared" si="0"/>
        <v>2023</v>
      </c>
    </row>
    <row r="20" spans="2:8" x14ac:dyDescent="0.35">
      <c r="C20" t="str">
        <f>C5</f>
        <v>SPAIN</v>
      </c>
      <c r="D20" s="415">
        <f>Income!S22+SUM(Cargatucoche!E74:L74)</f>
        <v>155.96</v>
      </c>
      <c r="E20" s="415">
        <f>Income!T22</f>
        <v>505.92000000000007</v>
      </c>
      <c r="F20" s="415">
        <f>Income!U22</f>
        <v>1433.4400000000005</v>
      </c>
      <c r="G20" s="415">
        <f>Income!V22</f>
        <v>4587.0080000000007</v>
      </c>
      <c r="H20" s="415">
        <f>Income!W22</f>
        <v>17201.280000000002</v>
      </c>
    </row>
    <row r="21" spans="2:8" x14ac:dyDescent="0.35">
      <c r="C21" s="411" t="str">
        <f t="shared" ref="C21:C23" si="1">C6</f>
        <v>UK</v>
      </c>
      <c r="D21" s="415">
        <f>Income!S69</f>
        <v>0</v>
      </c>
      <c r="E21" s="415">
        <f>Income!T69</f>
        <v>380.67119550000001</v>
      </c>
      <c r="F21" s="415">
        <f>Income!U69</f>
        <v>2392.7894207999998</v>
      </c>
      <c r="G21" s="415">
        <f>Income!V69</f>
        <v>7975.9647360000008</v>
      </c>
      <c r="H21" s="415">
        <f>Income!W69</f>
        <v>25523.087155200003</v>
      </c>
    </row>
    <row r="22" spans="2:8" x14ac:dyDescent="0.35">
      <c r="C22" s="411" t="str">
        <f t="shared" si="1"/>
        <v>Germany</v>
      </c>
      <c r="D22" s="415">
        <f>Income!S112</f>
        <v>0</v>
      </c>
      <c r="E22" s="415">
        <f>Income!T112</f>
        <v>0</v>
      </c>
      <c r="F22" s="415">
        <f>Income!U112</f>
        <v>728.13047999999981</v>
      </c>
      <c r="G22" s="415">
        <f>Income!V112</f>
        <v>4368.7828799999988</v>
      </c>
      <c r="H22" s="415">
        <f>Income!W112</f>
        <v>14562.609599999996</v>
      </c>
    </row>
    <row r="23" spans="2:8" x14ac:dyDescent="0.35">
      <c r="C23" s="411" t="str">
        <f t="shared" si="1"/>
        <v>France</v>
      </c>
      <c r="D23" s="415">
        <f>Income!S155</f>
        <v>0</v>
      </c>
      <c r="E23" s="415">
        <f>Income!T155</f>
        <v>0</v>
      </c>
      <c r="F23" s="415">
        <f>Income!U155</f>
        <v>413.96443199999993</v>
      </c>
      <c r="G23" s="415">
        <f>Income!V155</f>
        <v>2483.7865919999995</v>
      </c>
      <c r="H23" s="415">
        <f>Income!W155</f>
        <v>8279.2886399999988</v>
      </c>
    </row>
    <row r="37" spans="2:8" x14ac:dyDescent="0.35">
      <c r="B37" s="125" t="s">
        <v>259</v>
      </c>
    </row>
    <row r="38" spans="2:8" x14ac:dyDescent="0.35">
      <c r="B38" t="s">
        <v>261</v>
      </c>
      <c r="D38">
        <f>D19</f>
        <v>2019</v>
      </c>
      <c r="E38" s="411">
        <f t="shared" ref="E38:H38" si="2">E19</f>
        <v>2020</v>
      </c>
      <c r="F38" s="411">
        <f t="shared" si="2"/>
        <v>2021</v>
      </c>
      <c r="G38" s="411">
        <f t="shared" si="2"/>
        <v>2022</v>
      </c>
      <c r="H38" s="411">
        <f t="shared" si="2"/>
        <v>2023</v>
      </c>
    </row>
    <row r="39" spans="2:8" x14ac:dyDescent="0.35">
      <c r="B39" t="s">
        <v>52</v>
      </c>
    </row>
    <row r="40" spans="2:8" x14ac:dyDescent="0.35">
      <c r="B40" s="411"/>
      <c r="C40" t="s">
        <v>26</v>
      </c>
      <c r="D40" s="416">
        <f>Income!S6</f>
        <v>59727.360000000008</v>
      </c>
      <c r="E40" s="416">
        <f>Income!T6</f>
        <v>280482.04800000007</v>
      </c>
      <c r="F40" s="416">
        <f>Income!U6</f>
        <v>715229.22240000032</v>
      </c>
      <c r="G40" s="416">
        <f>Income!V6</f>
        <v>1830986.8093440006</v>
      </c>
      <c r="H40" s="416">
        <f>Income!W6</f>
        <v>5492960.4280320015</v>
      </c>
    </row>
    <row r="41" spans="2:8" x14ac:dyDescent="0.35">
      <c r="B41" s="411"/>
      <c r="C41" t="s">
        <v>27</v>
      </c>
      <c r="D41" s="416">
        <f>Income!S7</f>
        <v>77568.000000000015</v>
      </c>
      <c r="E41" s="416">
        <f>Income!T7</f>
        <v>364262.40000000002</v>
      </c>
      <c r="F41" s="416">
        <f>Income!U7</f>
        <v>928869.12000000034</v>
      </c>
      <c r="G41" s="416">
        <f>Income!V7</f>
        <v>2377904.9472000003</v>
      </c>
      <c r="H41" s="416">
        <f>Income!W7</f>
        <v>7133714.8416000018</v>
      </c>
    </row>
    <row r="42" spans="2:8" x14ac:dyDescent="0.35">
      <c r="B42" s="411"/>
      <c r="C42" t="s">
        <v>260</v>
      </c>
      <c r="D42" s="416">
        <f>Income!S8</f>
        <v>0</v>
      </c>
      <c r="E42" s="416">
        <f>Income!T8</f>
        <v>80947.200000000012</v>
      </c>
      <c r="F42" s="416">
        <f>Income!U8</f>
        <v>597997.44000000018</v>
      </c>
      <c r="G42" s="416">
        <f>Income!V8</f>
        <v>2318125.4400000004</v>
      </c>
      <c r="H42" s="416">
        <f>Income!W8</f>
        <v>6673320.8960000016</v>
      </c>
    </row>
    <row r="43" spans="2:8" x14ac:dyDescent="0.35">
      <c r="B43" t="s">
        <v>53</v>
      </c>
    </row>
    <row r="44" spans="2:8" x14ac:dyDescent="0.35">
      <c r="C44" s="411" t="s">
        <v>26</v>
      </c>
      <c r="D44" s="416">
        <f>Income!S53</f>
        <v>0</v>
      </c>
      <c r="E44" s="416">
        <f>Income!T53</f>
        <v>211044.11078520003</v>
      </c>
      <c r="F44" s="416">
        <f>Income!U53</f>
        <v>1193906.2094023679</v>
      </c>
      <c r="G44" s="416">
        <f>Income!V53</f>
        <v>3183749.8917396488</v>
      </c>
      <c r="H44" s="416">
        <f>Income!W53</f>
        <v>8150399.7228535004</v>
      </c>
    </row>
    <row r="45" spans="2:8" x14ac:dyDescent="0.35">
      <c r="C45" s="411" t="s">
        <v>27</v>
      </c>
      <c r="D45" s="416">
        <f>Income!S54</f>
        <v>0</v>
      </c>
      <c r="E45" s="416">
        <f>Income!T54</f>
        <v>274083.26076000003</v>
      </c>
      <c r="F45" s="416">
        <f>Income!U54</f>
        <v>1550527.5446783998</v>
      </c>
      <c r="G45" s="416">
        <f>Income!V54</f>
        <v>4134740.1191424001</v>
      </c>
      <c r="H45" s="416">
        <f>Income!W54</f>
        <v>10584934.705004545</v>
      </c>
    </row>
    <row r="46" spans="2:8" x14ac:dyDescent="0.35">
      <c r="C46" s="411" t="s">
        <v>260</v>
      </c>
      <c r="D46" s="416">
        <f>Income!S55</f>
        <v>0</v>
      </c>
      <c r="E46" s="416">
        <f>Income!T55</f>
        <v>0</v>
      </c>
      <c r="F46" s="416">
        <f>Income!U55</f>
        <v>219703.28651927598</v>
      </c>
      <c r="G46" s="416">
        <f>Income!V55</f>
        <v>1658123.2300807671</v>
      </c>
      <c r="H46" s="416">
        <f>Income!W55</f>
        <v>6443702.0716807675</v>
      </c>
    </row>
    <row r="47" spans="2:8" x14ac:dyDescent="0.35">
      <c r="B47" t="s">
        <v>55</v>
      </c>
    </row>
    <row r="48" spans="2:8" x14ac:dyDescent="0.35">
      <c r="C48" s="411" t="s">
        <v>26</v>
      </c>
      <c r="D48" s="416">
        <f>Income!S96</f>
        <v>0</v>
      </c>
      <c r="E48" s="416">
        <f>Income!T96</f>
        <v>0</v>
      </c>
      <c r="F48" s="416">
        <f>Income!U96</f>
        <v>363307.9843007999</v>
      </c>
      <c r="G48" s="416">
        <f>Income!V96</f>
        <v>1743878.3246438396</v>
      </c>
      <c r="H48" s="416">
        <f>Income!W96</f>
        <v>4650342.1990502393</v>
      </c>
    </row>
    <row r="49" spans="2:8" x14ac:dyDescent="0.35">
      <c r="C49" s="411" t="s">
        <v>27</v>
      </c>
      <c r="D49" s="416">
        <f>Income!S97</f>
        <v>0</v>
      </c>
      <c r="E49" s="416">
        <f>Income!T97</f>
        <v>0</v>
      </c>
      <c r="F49" s="416">
        <f>Income!U97</f>
        <v>471828.55103999987</v>
      </c>
      <c r="G49" s="416">
        <f>Income!V97</f>
        <v>2264777.0449919994</v>
      </c>
      <c r="H49" s="416">
        <f>Income!W97</f>
        <v>6039405.4533119984</v>
      </c>
    </row>
    <row r="50" spans="2:8" x14ac:dyDescent="0.35">
      <c r="C50" s="411" t="s">
        <v>260</v>
      </c>
      <c r="D50" s="416">
        <f>Income!S98</f>
        <v>0</v>
      </c>
      <c r="E50" s="416">
        <f>Income!T98</f>
        <v>0</v>
      </c>
      <c r="F50" s="416">
        <f>Income!U98</f>
        <v>0</v>
      </c>
      <c r="G50" s="416">
        <f>Income!V98</f>
        <v>746265.30476919189</v>
      </c>
      <c r="H50" s="416">
        <f>Income!W98</f>
        <v>5998133.0770788053</v>
      </c>
    </row>
    <row r="51" spans="2:8" x14ac:dyDescent="0.35">
      <c r="B51" t="s">
        <v>54</v>
      </c>
      <c r="D51" s="416"/>
      <c r="E51" s="416"/>
      <c r="F51" s="416"/>
      <c r="G51" s="416"/>
      <c r="H51" s="416"/>
    </row>
    <row r="52" spans="2:8" x14ac:dyDescent="0.35">
      <c r="C52" s="411" t="s">
        <v>26</v>
      </c>
      <c r="D52" s="416">
        <f>Income!S139</f>
        <v>0</v>
      </c>
      <c r="E52" s="416">
        <f>Income!T139</f>
        <v>0</v>
      </c>
      <c r="F52" s="416">
        <f>Income!U139</f>
        <v>206551.69299071998</v>
      </c>
      <c r="G52" s="416">
        <f>Income!V139</f>
        <v>991448.12635545596</v>
      </c>
      <c r="H52" s="416">
        <f>Income!W139</f>
        <v>3841861.489627392</v>
      </c>
    </row>
    <row r="53" spans="2:8" x14ac:dyDescent="0.35">
      <c r="C53" s="411" t="s">
        <v>27</v>
      </c>
      <c r="D53" s="416">
        <f>Income!S140</f>
        <v>0</v>
      </c>
      <c r="E53" s="416">
        <f>Income!T140</f>
        <v>0</v>
      </c>
      <c r="F53" s="416">
        <f>Income!U140</f>
        <v>268248.95193599997</v>
      </c>
      <c r="G53" s="416">
        <f>Income!V140</f>
        <v>1287594.9692927997</v>
      </c>
      <c r="H53" s="416">
        <f>Income!W140</f>
        <v>4989430.5060095992</v>
      </c>
    </row>
    <row r="54" spans="2:8" x14ac:dyDescent="0.35">
      <c r="C54" s="411" t="s">
        <v>260</v>
      </c>
      <c r="D54" s="416">
        <f>Income!S141</f>
        <v>0</v>
      </c>
      <c r="E54" s="416">
        <f>Income!T141</f>
        <v>0</v>
      </c>
      <c r="F54" s="416">
        <f>Income!U141</f>
        <v>0</v>
      </c>
      <c r="G54" s="416">
        <f>Income!V141</f>
        <v>425619.16147002071</v>
      </c>
      <c r="H54" s="416">
        <f>Income!W141</f>
        <v>3411483.3113883957</v>
      </c>
    </row>
    <row r="56" spans="2:8" x14ac:dyDescent="0.35">
      <c r="B56" t="s">
        <v>16</v>
      </c>
      <c r="D56" s="416">
        <f>SUM(D40:D54)</f>
        <v>137295.36000000002</v>
      </c>
      <c r="E56" s="416">
        <f t="shared" ref="E56:H56" si="3">SUM(E40:E54)</f>
        <v>1210819.0195452</v>
      </c>
      <c r="F56" s="416">
        <f t="shared" si="3"/>
        <v>6516170.0032675648</v>
      </c>
      <c r="G56" s="416">
        <f t="shared" si="3"/>
        <v>22963213.369030125</v>
      </c>
      <c r="H56" s="416">
        <f t="shared" si="3"/>
        <v>73409688.701637238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99146-241B-4FB9-AF6D-FFC32912EF0F}">
  <dimension ref="B1:R133"/>
  <sheetViews>
    <sheetView topLeftCell="A94" workbookViewId="0">
      <selection activeCell="N112" sqref="N112"/>
    </sheetView>
  </sheetViews>
  <sheetFormatPr baseColWidth="10" defaultColWidth="8.7265625" defaultRowHeight="14.5" x14ac:dyDescent="0.35"/>
  <cols>
    <col min="2" max="2" width="17.453125" bestFit="1" customWidth="1"/>
    <col min="3" max="3" width="36.08984375" bestFit="1" customWidth="1"/>
    <col min="4" max="4" width="6.7265625" customWidth="1"/>
    <col min="5" max="5" width="8.90625" customWidth="1"/>
    <col min="7" max="9" width="10.26953125" bestFit="1" customWidth="1"/>
    <col min="11" max="11" width="11.1796875" bestFit="1" customWidth="1"/>
    <col min="12" max="12" width="35.36328125" bestFit="1" customWidth="1"/>
  </cols>
  <sheetData>
    <row r="1" spans="2:11" x14ac:dyDescent="0.35">
      <c r="I1" s="424"/>
      <c r="J1" s="424"/>
      <c r="K1" s="424"/>
    </row>
    <row r="2" spans="2:11" x14ac:dyDescent="0.35">
      <c r="I2" s="424"/>
      <c r="J2" s="424"/>
      <c r="K2" s="424"/>
    </row>
    <row r="3" spans="2:11" x14ac:dyDescent="0.35">
      <c r="I3" s="424"/>
      <c r="J3" s="424"/>
      <c r="K3" s="424"/>
    </row>
    <row r="4" spans="2:11" x14ac:dyDescent="0.35">
      <c r="B4" s="125" t="s">
        <v>101</v>
      </c>
    </row>
    <row r="5" spans="2:11" x14ac:dyDescent="0.35">
      <c r="B5" s="425" t="s">
        <v>52</v>
      </c>
      <c r="C5" s="302" t="s">
        <v>102</v>
      </c>
      <c r="D5" s="130">
        <v>2018</v>
      </c>
      <c r="E5" s="130">
        <v>2019</v>
      </c>
      <c r="F5" s="130">
        <v>2020</v>
      </c>
      <c r="G5" s="130">
        <v>2021</v>
      </c>
      <c r="H5" s="130">
        <v>2022</v>
      </c>
      <c r="I5" s="130">
        <v>2023</v>
      </c>
    </row>
    <row r="6" spans="2:11" x14ac:dyDescent="0.35">
      <c r="B6" s="426"/>
      <c r="C6" s="303" t="s">
        <v>103</v>
      </c>
      <c r="D6" s="131">
        <v>1</v>
      </c>
      <c r="E6" s="131">
        <f>1.6</f>
        <v>1.6</v>
      </c>
      <c r="F6" s="131">
        <f>1.6</f>
        <v>1.6</v>
      </c>
      <c r="G6" s="131">
        <f>1.7</f>
        <v>1.7</v>
      </c>
      <c r="H6" s="131">
        <f>2</f>
        <v>2</v>
      </c>
      <c r="I6" s="131">
        <f>2</f>
        <v>2</v>
      </c>
    </row>
    <row r="7" spans="2:11" x14ac:dyDescent="0.35">
      <c r="B7" s="426"/>
      <c r="C7" s="304" t="s">
        <v>108</v>
      </c>
      <c r="D7" s="131">
        <v>0.57999999999999996</v>
      </c>
      <c r="E7" s="131">
        <v>0.57999999999999996</v>
      </c>
      <c r="F7" s="131">
        <v>0.57999999999999996</v>
      </c>
      <c r="G7" s="131">
        <v>0.57999999999999996</v>
      </c>
      <c r="H7" s="131">
        <v>0.57999999999999996</v>
      </c>
      <c r="I7" s="131">
        <v>0.57999999999999996</v>
      </c>
    </row>
    <row r="8" spans="2:11" x14ac:dyDescent="0.35">
      <c r="B8" s="426"/>
      <c r="C8" s="304" t="s">
        <v>109</v>
      </c>
      <c r="D8" s="131">
        <v>0.42</v>
      </c>
      <c r="E8" s="131">
        <v>0.42</v>
      </c>
      <c r="F8" s="131">
        <v>0.42</v>
      </c>
      <c r="G8" s="131">
        <v>0.42</v>
      </c>
      <c r="H8" s="131">
        <v>0.42</v>
      </c>
      <c r="I8" s="131">
        <v>0.42</v>
      </c>
    </row>
    <row r="9" spans="2:11" x14ac:dyDescent="0.35">
      <c r="B9" s="426"/>
      <c r="C9" s="303"/>
      <c r="D9" s="129"/>
      <c r="E9" s="129"/>
      <c r="F9" s="129"/>
      <c r="G9" s="129"/>
      <c r="H9" s="129"/>
      <c r="I9" s="129"/>
    </row>
    <row r="10" spans="2:11" x14ac:dyDescent="0.35">
      <c r="B10" s="426"/>
      <c r="C10" s="303" t="s">
        <v>106</v>
      </c>
      <c r="D10" s="129"/>
      <c r="E10" s="131">
        <v>0.5</v>
      </c>
      <c r="F10" s="131">
        <v>0.5</v>
      </c>
      <c r="G10" s="131">
        <v>0.5</v>
      </c>
      <c r="H10" s="131">
        <v>0.5</v>
      </c>
      <c r="I10" s="131">
        <v>0.5</v>
      </c>
    </row>
    <row r="11" spans="2:11" x14ac:dyDescent="0.35">
      <c r="B11" s="426"/>
      <c r="C11" s="303"/>
      <c r="D11" s="129"/>
      <c r="E11" s="129"/>
      <c r="F11" s="129"/>
      <c r="G11" s="129"/>
      <c r="H11" s="129"/>
      <c r="I11" s="129"/>
    </row>
    <row r="12" spans="2:11" x14ac:dyDescent="0.35">
      <c r="B12" s="426"/>
      <c r="C12" s="303" t="s">
        <v>225</v>
      </c>
      <c r="D12" s="129"/>
      <c r="E12" s="131">
        <v>0.02</v>
      </c>
      <c r="F12" s="131">
        <v>0.03</v>
      </c>
      <c r="G12" s="131">
        <v>0.05</v>
      </c>
      <c r="H12" s="131">
        <v>0.08</v>
      </c>
      <c r="I12" s="131">
        <v>0.15</v>
      </c>
    </row>
    <row r="13" spans="2:11" s="298" customFormat="1" x14ac:dyDescent="0.35">
      <c r="B13" s="426"/>
      <c r="C13" s="303"/>
      <c r="D13" s="129"/>
      <c r="E13" s="131"/>
      <c r="F13" s="131"/>
      <c r="G13" s="131"/>
      <c r="H13" s="131"/>
      <c r="I13" s="131"/>
    </row>
    <row r="14" spans="2:11" s="298" customFormat="1" x14ac:dyDescent="0.35">
      <c r="B14" s="426"/>
      <c r="C14" s="303" t="s">
        <v>238</v>
      </c>
      <c r="D14" s="129"/>
      <c r="E14" s="324">
        <v>0</v>
      </c>
      <c r="F14" s="131">
        <v>0.03</v>
      </c>
      <c r="G14" s="131">
        <v>0.1</v>
      </c>
      <c r="H14" s="131">
        <v>0.15</v>
      </c>
      <c r="I14" s="131">
        <v>0.2</v>
      </c>
    </row>
    <row r="15" spans="2:11" s="298" customFormat="1" x14ac:dyDescent="0.35">
      <c r="B15" s="426"/>
      <c r="C15" s="303" t="s">
        <v>232</v>
      </c>
      <c r="D15" s="129"/>
      <c r="E15" s="131">
        <v>0</v>
      </c>
      <c r="F15" s="131">
        <v>0.1</v>
      </c>
      <c r="G15" s="131">
        <v>0.1</v>
      </c>
      <c r="H15" s="131">
        <v>0.1</v>
      </c>
      <c r="I15" s="131">
        <v>0.1</v>
      </c>
    </row>
    <row r="16" spans="2:11" s="298" customFormat="1" x14ac:dyDescent="0.35">
      <c r="B16" s="427"/>
      <c r="C16" s="303" t="s">
        <v>248</v>
      </c>
      <c r="D16" s="129"/>
      <c r="E16" s="306">
        <v>0</v>
      </c>
      <c r="F16" s="306">
        <f>8</f>
        <v>8</v>
      </c>
      <c r="G16" s="306">
        <f>9</f>
        <v>9</v>
      </c>
      <c r="H16" s="306">
        <f>10</f>
        <v>10</v>
      </c>
      <c r="I16" s="306">
        <f>10</f>
        <v>10</v>
      </c>
    </row>
    <row r="19" spans="2:9" x14ac:dyDescent="0.35">
      <c r="B19" s="425" t="s">
        <v>53</v>
      </c>
      <c r="C19" s="302" t="s">
        <v>102</v>
      </c>
      <c r="D19" s="130">
        <v>2018</v>
      </c>
      <c r="E19" s="130">
        <v>2019</v>
      </c>
      <c r="F19" s="130">
        <v>2020</v>
      </c>
      <c r="G19" s="130">
        <v>2021</v>
      </c>
      <c r="H19" s="130">
        <v>2022</v>
      </c>
      <c r="I19" s="130">
        <v>2023</v>
      </c>
    </row>
    <row r="20" spans="2:9" x14ac:dyDescent="0.35">
      <c r="B20" s="426"/>
      <c r="C20" s="303" t="s">
        <v>103</v>
      </c>
      <c r="D20" s="131">
        <v>1</v>
      </c>
      <c r="E20" s="131">
        <v>1.29</v>
      </c>
      <c r="F20" s="131">
        <v>1.29</v>
      </c>
      <c r="G20" s="131">
        <v>1.6</v>
      </c>
      <c r="H20" s="131">
        <v>2</v>
      </c>
      <c r="I20" s="131">
        <v>2</v>
      </c>
    </row>
    <row r="21" spans="2:9" x14ac:dyDescent="0.35">
      <c r="B21" s="426"/>
      <c r="C21" s="304" t="s">
        <v>108</v>
      </c>
      <c r="D21" s="131">
        <v>0.3</v>
      </c>
      <c r="E21" s="131">
        <v>0.3</v>
      </c>
      <c r="F21" s="131">
        <v>0.4</v>
      </c>
      <c r="G21" s="131">
        <v>0.5</v>
      </c>
      <c r="H21" s="131">
        <v>0.55000000000000004</v>
      </c>
      <c r="I21" s="131">
        <v>0.7</v>
      </c>
    </row>
    <row r="22" spans="2:9" x14ac:dyDescent="0.35">
      <c r="B22" s="426"/>
      <c r="C22" s="304" t="s">
        <v>109</v>
      </c>
      <c r="D22" s="131">
        <v>0.7</v>
      </c>
      <c r="E22" s="131">
        <v>0.7</v>
      </c>
      <c r="F22" s="131">
        <v>0.6</v>
      </c>
      <c r="G22" s="131">
        <v>0.5</v>
      </c>
      <c r="H22" s="131">
        <v>0.45</v>
      </c>
      <c r="I22" s="131">
        <v>0.3</v>
      </c>
    </row>
    <row r="23" spans="2:9" x14ac:dyDescent="0.35">
      <c r="B23" s="426"/>
      <c r="C23" s="303"/>
      <c r="D23" s="129"/>
      <c r="E23" s="129"/>
      <c r="F23" s="129"/>
      <c r="G23" s="129"/>
      <c r="H23" s="129"/>
      <c r="I23" s="129"/>
    </row>
    <row r="24" spans="2:9" x14ac:dyDescent="0.35">
      <c r="B24" s="426"/>
      <c r="C24" s="303" t="s">
        <v>106</v>
      </c>
      <c r="D24" s="129"/>
      <c r="E24" s="131">
        <v>0.5</v>
      </c>
      <c r="F24" s="131">
        <v>0.5</v>
      </c>
      <c r="G24" s="131">
        <v>0.5</v>
      </c>
      <c r="H24" s="131">
        <v>0.5</v>
      </c>
      <c r="I24" s="131">
        <v>0.5</v>
      </c>
    </row>
    <row r="25" spans="2:9" x14ac:dyDescent="0.35">
      <c r="B25" s="426"/>
      <c r="C25" s="303"/>
      <c r="D25" s="129"/>
      <c r="E25" s="129"/>
      <c r="F25" s="129"/>
      <c r="G25" s="129"/>
      <c r="H25" s="129"/>
      <c r="I25" s="129"/>
    </row>
    <row r="26" spans="2:9" x14ac:dyDescent="0.35">
      <c r="B26" s="426"/>
      <c r="C26" s="303" t="s">
        <v>107</v>
      </c>
      <c r="D26" s="129"/>
      <c r="E26" s="131">
        <v>0</v>
      </c>
      <c r="F26" s="131">
        <v>0.01</v>
      </c>
      <c r="G26" s="131">
        <v>0.03</v>
      </c>
      <c r="H26" s="131">
        <v>0.05</v>
      </c>
      <c r="I26" s="131">
        <v>0.08</v>
      </c>
    </row>
    <row r="27" spans="2:9" s="298" customFormat="1" x14ac:dyDescent="0.35">
      <c r="B27" s="426"/>
      <c r="C27" s="303"/>
      <c r="D27" s="129"/>
      <c r="E27" s="131"/>
      <c r="F27" s="131"/>
      <c r="G27" s="131"/>
      <c r="H27" s="131"/>
      <c r="I27" s="131"/>
    </row>
    <row r="28" spans="2:9" s="298" customFormat="1" x14ac:dyDescent="0.35">
      <c r="B28" s="426"/>
      <c r="C28" s="303" t="s">
        <v>238</v>
      </c>
      <c r="D28" s="129"/>
      <c r="E28" s="324">
        <v>0</v>
      </c>
      <c r="F28" s="324">
        <v>7.4999999999999997E-3</v>
      </c>
      <c r="G28" s="131">
        <v>0.03</v>
      </c>
      <c r="H28" s="131">
        <v>0.1</v>
      </c>
      <c r="I28" s="131">
        <v>0.15</v>
      </c>
    </row>
    <row r="29" spans="2:9" s="298" customFormat="1" x14ac:dyDescent="0.35">
      <c r="B29" s="426"/>
      <c r="C29" s="303" t="s">
        <v>232</v>
      </c>
      <c r="D29" s="129"/>
      <c r="E29" s="305">
        <v>0</v>
      </c>
      <c r="F29" s="131">
        <v>0.1</v>
      </c>
      <c r="G29" s="131">
        <v>0.1</v>
      </c>
      <c r="H29" s="131">
        <v>0.1</v>
      </c>
      <c r="I29" s="131">
        <v>0.1</v>
      </c>
    </row>
    <row r="30" spans="2:9" s="298" customFormat="1" x14ac:dyDescent="0.35">
      <c r="B30" s="427"/>
      <c r="C30" s="303" t="s">
        <v>248</v>
      </c>
      <c r="D30" s="129"/>
      <c r="E30" s="306">
        <v>0</v>
      </c>
      <c r="F30" s="306">
        <f>E16</f>
        <v>0</v>
      </c>
      <c r="G30" s="306">
        <f t="shared" ref="G30:I30" si="0">F16</f>
        <v>8</v>
      </c>
      <c r="H30" s="306">
        <f t="shared" si="0"/>
        <v>9</v>
      </c>
      <c r="I30" s="306">
        <f t="shared" si="0"/>
        <v>10</v>
      </c>
    </row>
    <row r="33" spans="2:9" x14ac:dyDescent="0.35">
      <c r="B33" s="425" t="s">
        <v>117</v>
      </c>
      <c r="C33" s="302" t="s">
        <v>102</v>
      </c>
      <c r="D33" s="130">
        <v>2018</v>
      </c>
      <c r="E33" s="130">
        <v>2019</v>
      </c>
      <c r="F33" s="130">
        <v>2020</v>
      </c>
      <c r="G33" s="130">
        <v>2021</v>
      </c>
      <c r="H33" s="130">
        <v>2022</v>
      </c>
      <c r="I33" s="130">
        <v>2023</v>
      </c>
    </row>
    <row r="34" spans="2:9" x14ac:dyDescent="0.35">
      <c r="B34" s="426"/>
      <c r="C34" s="303" t="s">
        <v>103</v>
      </c>
      <c r="D34" s="131">
        <v>1</v>
      </c>
      <c r="E34" s="131">
        <v>1.24</v>
      </c>
      <c r="F34" s="131">
        <v>1.24</v>
      </c>
      <c r="G34" s="131">
        <v>1.4</v>
      </c>
      <c r="H34" s="131">
        <v>2</v>
      </c>
      <c r="I34" s="131">
        <v>2</v>
      </c>
    </row>
    <row r="35" spans="2:9" x14ac:dyDescent="0.35">
      <c r="B35" s="426"/>
      <c r="C35" s="304" t="s">
        <v>108</v>
      </c>
      <c r="D35" s="131">
        <v>0.3</v>
      </c>
      <c r="E35" s="131">
        <v>0.3</v>
      </c>
      <c r="F35" s="131">
        <v>0.4</v>
      </c>
      <c r="G35" s="131">
        <v>0.5</v>
      </c>
      <c r="H35" s="131">
        <v>0.55000000000000004</v>
      </c>
      <c r="I35" s="131">
        <v>0.7</v>
      </c>
    </row>
    <row r="36" spans="2:9" x14ac:dyDescent="0.35">
      <c r="B36" s="426"/>
      <c r="C36" s="304" t="s">
        <v>109</v>
      </c>
      <c r="D36" s="131">
        <v>0.7</v>
      </c>
      <c r="E36" s="131">
        <v>0.7</v>
      </c>
      <c r="F36" s="131">
        <v>0.6</v>
      </c>
      <c r="G36" s="131">
        <v>0.5</v>
      </c>
      <c r="H36" s="131">
        <v>0.45</v>
      </c>
      <c r="I36" s="131">
        <v>0.3</v>
      </c>
    </row>
    <row r="37" spans="2:9" x14ac:dyDescent="0.35">
      <c r="B37" s="426"/>
      <c r="C37" s="303"/>
      <c r="D37" s="129"/>
      <c r="E37" s="129"/>
      <c r="F37" s="129"/>
      <c r="G37" s="129"/>
      <c r="H37" s="129"/>
      <c r="I37" s="129"/>
    </row>
    <row r="38" spans="2:9" x14ac:dyDescent="0.35">
      <c r="B38" s="426"/>
      <c r="C38" s="303" t="s">
        <v>106</v>
      </c>
      <c r="D38" s="129"/>
      <c r="E38" s="131">
        <v>0.5</v>
      </c>
      <c r="F38" s="131">
        <v>0.5</v>
      </c>
      <c r="G38" s="131">
        <v>0.5</v>
      </c>
      <c r="H38" s="131">
        <v>0.5</v>
      </c>
      <c r="I38" s="131">
        <v>0.5</v>
      </c>
    </row>
    <row r="39" spans="2:9" x14ac:dyDescent="0.35">
      <c r="B39" s="426"/>
      <c r="C39" s="303"/>
      <c r="D39" s="129"/>
      <c r="E39" s="129"/>
      <c r="F39" s="129"/>
      <c r="G39" s="129"/>
      <c r="H39" s="129"/>
      <c r="I39" s="129"/>
    </row>
    <row r="40" spans="2:9" x14ac:dyDescent="0.35">
      <c r="B40" s="426"/>
      <c r="C40" s="303" t="s">
        <v>107</v>
      </c>
      <c r="D40" s="129"/>
      <c r="E40" s="131">
        <v>0</v>
      </c>
      <c r="F40" s="131">
        <v>0</v>
      </c>
      <c r="G40" s="131">
        <v>0.01</v>
      </c>
      <c r="H40" s="131">
        <v>0.03</v>
      </c>
      <c r="I40" s="131">
        <v>0.05</v>
      </c>
    </row>
    <row r="41" spans="2:9" s="298" customFormat="1" x14ac:dyDescent="0.35">
      <c r="B41" s="426"/>
      <c r="C41" s="303"/>
      <c r="D41" s="129"/>
      <c r="E41" s="131"/>
      <c r="F41" s="131"/>
      <c r="G41" s="131"/>
      <c r="H41" s="131"/>
      <c r="I41" s="131"/>
    </row>
    <row r="42" spans="2:9" s="298" customFormat="1" x14ac:dyDescent="0.35">
      <c r="B42" s="426"/>
      <c r="C42" s="303" t="s">
        <v>238</v>
      </c>
      <c r="D42" s="129"/>
      <c r="E42" s="324">
        <v>0</v>
      </c>
      <c r="F42" s="324">
        <v>0</v>
      </c>
      <c r="G42" s="324">
        <v>7.4999999999999997E-3</v>
      </c>
      <c r="H42" s="131">
        <v>0.03</v>
      </c>
      <c r="I42" s="131">
        <v>0.1</v>
      </c>
    </row>
    <row r="43" spans="2:9" s="298" customFormat="1" x14ac:dyDescent="0.35">
      <c r="B43" s="426"/>
      <c r="C43" s="303" t="s">
        <v>232</v>
      </c>
      <c r="D43" s="129"/>
      <c r="E43" s="305">
        <v>0</v>
      </c>
      <c r="F43" s="131">
        <v>0</v>
      </c>
      <c r="G43" s="131">
        <v>0.1</v>
      </c>
      <c r="H43" s="131">
        <v>0.1</v>
      </c>
      <c r="I43" s="131">
        <v>0.1</v>
      </c>
    </row>
    <row r="44" spans="2:9" s="298" customFormat="1" x14ac:dyDescent="0.35">
      <c r="B44" s="427"/>
      <c r="C44" s="303" t="s">
        <v>248</v>
      </c>
      <c r="D44" s="129"/>
      <c r="E44" s="306">
        <v>0</v>
      </c>
      <c r="F44" s="306">
        <v>0</v>
      </c>
      <c r="G44" s="306">
        <f>F30</f>
        <v>0</v>
      </c>
      <c r="H44" s="306">
        <f t="shared" ref="H44:I44" si="1">G30</f>
        <v>8</v>
      </c>
      <c r="I44" s="306">
        <f t="shared" si="1"/>
        <v>9</v>
      </c>
    </row>
    <row r="47" spans="2:9" x14ac:dyDescent="0.35">
      <c r="B47" s="425" t="s">
        <v>119</v>
      </c>
      <c r="C47" s="302" t="s">
        <v>102</v>
      </c>
      <c r="D47" s="130">
        <v>2018</v>
      </c>
      <c r="E47" s="130">
        <v>2019</v>
      </c>
      <c r="F47" s="130">
        <v>2020</v>
      </c>
      <c r="G47" s="130">
        <v>2021</v>
      </c>
      <c r="H47" s="130">
        <v>2022</v>
      </c>
      <c r="I47" s="130">
        <v>2023</v>
      </c>
    </row>
    <row r="48" spans="2:9" x14ac:dyDescent="0.35">
      <c r="B48" s="426"/>
      <c r="C48" s="303" t="s">
        <v>103</v>
      </c>
      <c r="D48" s="131">
        <v>1</v>
      </c>
      <c r="E48" s="131">
        <v>1.08</v>
      </c>
      <c r="F48" s="131">
        <v>1.2</v>
      </c>
      <c r="G48" s="131">
        <v>1.4</v>
      </c>
      <c r="H48" s="131">
        <v>2</v>
      </c>
      <c r="I48" s="131">
        <v>2</v>
      </c>
    </row>
    <row r="49" spans="2:18" x14ac:dyDescent="0.35">
      <c r="B49" s="426"/>
      <c r="C49" s="304" t="s">
        <v>108</v>
      </c>
      <c r="D49" s="131">
        <v>0.68</v>
      </c>
      <c r="E49" s="131">
        <v>0.68</v>
      </c>
      <c r="F49" s="131">
        <v>0.68</v>
      </c>
      <c r="G49" s="131">
        <v>0.68</v>
      </c>
      <c r="H49" s="131">
        <v>0.68</v>
      </c>
      <c r="I49" s="131">
        <v>0.68</v>
      </c>
    </row>
    <row r="50" spans="2:18" x14ac:dyDescent="0.35">
      <c r="B50" s="426"/>
      <c r="C50" s="304" t="s">
        <v>109</v>
      </c>
      <c r="D50" s="131">
        <v>0.32</v>
      </c>
      <c r="E50" s="131">
        <v>0.32</v>
      </c>
      <c r="F50" s="131">
        <v>0.32</v>
      </c>
      <c r="G50" s="131">
        <v>0.32</v>
      </c>
      <c r="H50" s="131">
        <v>0.32</v>
      </c>
      <c r="I50" s="131">
        <v>0.32</v>
      </c>
    </row>
    <row r="51" spans="2:18" x14ac:dyDescent="0.35">
      <c r="B51" s="426"/>
      <c r="C51" s="303"/>
      <c r="D51" s="129"/>
      <c r="E51" s="129"/>
      <c r="F51" s="129"/>
      <c r="G51" s="129"/>
      <c r="H51" s="129"/>
      <c r="I51" s="129"/>
    </row>
    <row r="52" spans="2:18" x14ac:dyDescent="0.35">
      <c r="B52" s="426"/>
      <c r="C52" s="303" t="s">
        <v>106</v>
      </c>
      <c r="D52" s="129"/>
      <c r="E52" s="131">
        <v>0.5</v>
      </c>
      <c r="F52" s="131">
        <v>0.5</v>
      </c>
      <c r="G52" s="131">
        <v>0.5</v>
      </c>
      <c r="H52" s="131">
        <v>0.5</v>
      </c>
      <c r="I52" s="131">
        <v>0.5</v>
      </c>
    </row>
    <row r="53" spans="2:18" x14ac:dyDescent="0.35">
      <c r="B53" s="426"/>
      <c r="C53" s="303"/>
      <c r="D53" s="129"/>
      <c r="E53" s="129"/>
      <c r="F53" s="129"/>
      <c r="G53" s="129"/>
      <c r="H53" s="129"/>
      <c r="I53" s="129"/>
    </row>
    <row r="54" spans="2:18" x14ac:dyDescent="0.35">
      <c r="B54" s="426"/>
      <c r="C54" s="303" t="s">
        <v>107</v>
      </c>
      <c r="D54" s="129"/>
      <c r="E54" s="131">
        <v>0</v>
      </c>
      <c r="F54" s="131">
        <v>0</v>
      </c>
      <c r="G54" s="131">
        <v>0.01</v>
      </c>
      <c r="H54" s="131">
        <v>0.03</v>
      </c>
      <c r="I54" s="131">
        <v>0.05</v>
      </c>
    </row>
    <row r="55" spans="2:18" s="298" customFormat="1" x14ac:dyDescent="0.35">
      <c r="B55" s="426"/>
      <c r="C55" s="303"/>
      <c r="D55" s="129"/>
      <c r="E55" s="131"/>
      <c r="F55" s="131"/>
      <c r="G55" s="131"/>
      <c r="H55" s="131"/>
      <c r="I55" s="131"/>
    </row>
    <row r="56" spans="2:18" s="298" customFormat="1" x14ac:dyDescent="0.35">
      <c r="B56" s="426"/>
      <c r="C56" s="303" t="s">
        <v>238</v>
      </c>
      <c r="D56" s="129"/>
      <c r="E56" s="324">
        <v>0</v>
      </c>
      <c r="F56" s="324">
        <v>0</v>
      </c>
      <c r="G56" s="324">
        <v>7.4999999999999997E-3</v>
      </c>
      <c r="H56" s="131">
        <v>0.03</v>
      </c>
      <c r="I56" s="131">
        <v>0.1</v>
      </c>
    </row>
    <row r="57" spans="2:18" s="298" customFormat="1" x14ac:dyDescent="0.35">
      <c r="B57" s="426"/>
      <c r="C57" s="303" t="s">
        <v>232</v>
      </c>
      <c r="D57" s="129"/>
      <c r="E57" s="305">
        <v>0</v>
      </c>
      <c r="F57" s="131">
        <v>0</v>
      </c>
      <c r="G57" s="131">
        <v>0.1</v>
      </c>
      <c r="H57" s="131">
        <v>0.1</v>
      </c>
      <c r="I57" s="131">
        <v>0.1</v>
      </c>
    </row>
    <row r="58" spans="2:18" s="298" customFormat="1" x14ac:dyDescent="0.35">
      <c r="B58" s="427"/>
      <c r="C58" s="303" t="s">
        <v>248</v>
      </c>
      <c r="D58" s="129"/>
      <c r="E58" s="306">
        <v>0</v>
      </c>
      <c r="F58" s="306">
        <v>0</v>
      </c>
      <c r="G58" s="306">
        <f>G44</f>
        <v>0</v>
      </c>
      <c r="H58" s="306">
        <f t="shared" ref="H58:I58" si="2">H44</f>
        <v>8</v>
      </c>
      <c r="I58" s="306">
        <f t="shared" si="2"/>
        <v>9</v>
      </c>
    </row>
    <row r="61" spans="2:18" x14ac:dyDescent="0.35">
      <c r="B61" s="125" t="s">
        <v>122</v>
      </c>
      <c r="K61" s="125" t="s">
        <v>155</v>
      </c>
    </row>
    <row r="62" spans="2:18" ht="15" thickBot="1" x14ac:dyDescent="0.4">
      <c r="B62" s="429" t="s">
        <v>52</v>
      </c>
      <c r="C62" s="158" t="s">
        <v>102</v>
      </c>
      <c r="D62" s="158">
        <v>2018</v>
      </c>
      <c r="E62" s="158">
        <v>2019</v>
      </c>
      <c r="F62" s="158">
        <v>2020</v>
      </c>
      <c r="G62" s="158">
        <v>2021</v>
      </c>
      <c r="H62" s="158">
        <v>2022</v>
      </c>
      <c r="I62" s="158">
        <v>2023</v>
      </c>
      <c r="K62" s="429" t="s">
        <v>52</v>
      </c>
      <c r="L62" s="158" t="s">
        <v>102</v>
      </c>
      <c r="M62" s="158">
        <v>2018</v>
      </c>
      <c r="N62" s="158">
        <v>2019</v>
      </c>
      <c r="O62" s="158">
        <v>2020</v>
      </c>
      <c r="P62" s="158">
        <v>2021</v>
      </c>
      <c r="Q62" s="158">
        <v>2022</v>
      </c>
      <c r="R62" s="158">
        <v>2023</v>
      </c>
    </row>
    <row r="63" spans="2:18" x14ac:dyDescent="0.35">
      <c r="B63" s="428"/>
      <c r="C63" s="160" t="s">
        <v>130</v>
      </c>
      <c r="D63" s="161"/>
      <c r="E63" s="161">
        <v>0.6</v>
      </c>
      <c r="F63" s="161">
        <v>0.6</v>
      </c>
      <c r="G63" s="161">
        <v>0.6</v>
      </c>
      <c r="H63" s="161">
        <v>0.6</v>
      </c>
      <c r="I63" s="161">
        <v>0.6</v>
      </c>
      <c r="K63" s="428"/>
      <c r="L63" s="160"/>
      <c r="M63" s="161"/>
      <c r="N63" s="161"/>
      <c r="O63" s="161"/>
      <c r="P63" s="161"/>
      <c r="Q63" s="161"/>
      <c r="R63" s="161"/>
    </row>
    <row r="64" spans="2:18" x14ac:dyDescent="0.35">
      <c r="B64" s="428"/>
      <c r="C64" s="162" t="s">
        <v>131</v>
      </c>
      <c r="D64" s="131"/>
      <c r="E64" s="131">
        <v>0.4</v>
      </c>
      <c r="F64" s="131">
        <v>0.4</v>
      </c>
      <c r="G64" s="131">
        <v>0.4</v>
      </c>
      <c r="H64" s="131">
        <v>0.4</v>
      </c>
      <c r="I64" s="131">
        <v>0.4</v>
      </c>
      <c r="K64" s="428"/>
      <c r="L64" s="162"/>
      <c r="M64" s="131"/>
      <c r="N64" s="131"/>
      <c r="O64" s="131"/>
      <c r="P64" s="131"/>
      <c r="Q64" s="131"/>
      <c r="R64" s="131"/>
    </row>
    <row r="65" spans="2:18" x14ac:dyDescent="0.35">
      <c r="B65" s="428"/>
      <c r="C65" s="164" t="s">
        <v>125</v>
      </c>
      <c r="D65" s="131"/>
      <c r="E65" s="131">
        <v>0</v>
      </c>
      <c r="F65" s="131">
        <v>0.1</v>
      </c>
      <c r="G65" s="131">
        <v>0.1</v>
      </c>
      <c r="H65" s="131">
        <v>0.2</v>
      </c>
      <c r="I65" s="131">
        <v>0.2</v>
      </c>
      <c r="K65" s="428"/>
      <c r="L65" s="164" t="s">
        <v>156</v>
      </c>
      <c r="M65" s="131"/>
      <c r="N65" s="131">
        <v>0</v>
      </c>
      <c r="O65" s="131">
        <v>0.15</v>
      </c>
      <c r="P65" s="131">
        <v>0.15</v>
      </c>
      <c r="Q65" s="131">
        <v>0.25</v>
      </c>
      <c r="R65" s="163">
        <v>0.25</v>
      </c>
    </row>
    <row r="66" spans="2:18" x14ac:dyDescent="0.35">
      <c r="B66" s="428"/>
      <c r="C66" s="164" t="s">
        <v>126</v>
      </c>
      <c r="D66" s="129"/>
      <c r="E66" s="167">
        <v>660</v>
      </c>
      <c r="F66" s="167">
        <f>(1-F65)*E66</f>
        <v>594</v>
      </c>
      <c r="G66" s="167">
        <f>(1-G65)*F66</f>
        <v>534.6</v>
      </c>
      <c r="H66" s="167">
        <f>(1-H65)*G66</f>
        <v>427.68000000000006</v>
      </c>
      <c r="I66" s="167">
        <f>(1-I65)*H66</f>
        <v>342.14400000000006</v>
      </c>
      <c r="K66" s="428"/>
      <c r="L66" s="164" t="s">
        <v>126</v>
      </c>
      <c r="M66" s="129"/>
      <c r="N66" s="167">
        <v>561</v>
      </c>
      <c r="O66" s="167">
        <f>(1-O65)*N66</f>
        <v>476.84999999999997</v>
      </c>
      <c r="P66" s="167">
        <f>(1-P65)*O66</f>
        <v>405.32249999999993</v>
      </c>
      <c r="Q66" s="167">
        <f>(1-Q65)*P66</f>
        <v>303.99187499999994</v>
      </c>
      <c r="R66" s="167">
        <f>(1-R65)*Q66</f>
        <v>227.99390624999995</v>
      </c>
    </row>
    <row r="67" spans="2:18" ht="15" thickBot="1" x14ac:dyDescent="0.4">
      <c r="B67" s="428"/>
      <c r="C67" s="165" t="s">
        <v>127</v>
      </c>
      <c r="D67" s="166"/>
      <c r="E67" s="168">
        <v>550</v>
      </c>
      <c r="F67" s="168">
        <f>(1-F65)*E67</f>
        <v>495</v>
      </c>
      <c r="G67" s="168">
        <f>(1-G65)*F67</f>
        <v>445.5</v>
      </c>
      <c r="H67" s="168">
        <f>(1-H65)*G67</f>
        <v>356.40000000000003</v>
      </c>
      <c r="I67" s="168">
        <f>(1-I65)*H67</f>
        <v>285.12000000000006</v>
      </c>
      <c r="K67" s="428"/>
      <c r="L67" s="165" t="s">
        <v>127</v>
      </c>
      <c r="M67" s="166"/>
      <c r="N67" s="168">
        <v>440</v>
      </c>
      <c r="O67" s="168">
        <f>(1-O65)*N67</f>
        <v>374</v>
      </c>
      <c r="P67" s="168">
        <f>(1-P65)*O67</f>
        <v>317.89999999999998</v>
      </c>
      <c r="Q67" s="168">
        <f>(1-Q65)*P67</f>
        <v>238.42499999999998</v>
      </c>
      <c r="R67" s="168">
        <f>(1-R65)*Q67</f>
        <v>178.81874999999999</v>
      </c>
    </row>
    <row r="68" spans="2:18" x14ac:dyDescent="0.35">
      <c r="B68" s="428"/>
      <c r="C68" s="300" t="s">
        <v>128</v>
      </c>
      <c r="D68" s="159"/>
      <c r="E68" s="169">
        <v>800</v>
      </c>
      <c r="F68" s="169">
        <f>(1-F69)*E68</f>
        <v>720</v>
      </c>
      <c r="G68" s="169">
        <f>(1-G69)*F68</f>
        <v>648</v>
      </c>
      <c r="H68" s="169">
        <f>(1-H69)*G68</f>
        <v>518.4</v>
      </c>
      <c r="I68" s="169">
        <f>(1-I69)*H68</f>
        <v>414.72</v>
      </c>
      <c r="K68" s="428"/>
      <c r="L68" t="s">
        <v>157</v>
      </c>
      <c r="M68" s="159"/>
      <c r="N68" s="169">
        <v>480</v>
      </c>
      <c r="O68" s="169">
        <f>(1-O69)*N68</f>
        <v>408</v>
      </c>
      <c r="P68" s="169">
        <f>(1-P69)*O68</f>
        <v>346.8</v>
      </c>
      <c r="Q68" s="169">
        <f>(1-Q69)*P68</f>
        <v>260.10000000000002</v>
      </c>
      <c r="R68" s="169">
        <f>(1-R69)*Q68</f>
        <v>195.07500000000002</v>
      </c>
    </row>
    <row r="69" spans="2:18" x14ac:dyDescent="0.35">
      <c r="B69" s="428"/>
      <c r="C69" s="129" t="s">
        <v>129</v>
      </c>
      <c r="D69" s="129"/>
      <c r="E69" s="131">
        <v>0</v>
      </c>
      <c r="F69" s="131">
        <v>0.1</v>
      </c>
      <c r="G69" s="131">
        <v>0.1</v>
      </c>
      <c r="H69" s="131">
        <v>0.2</v>
      </c>
      <c r="I69" s="131">
        <v>0.2</v>
      </c>
      <c r="K69" s="428"/>
      <c r="L69" s="129" t="s">
        <v>158</v>
      </c>
      <c r="M69" s="129"/>
      <c r="N69" s="131">
        <v>0</v>
      </c>
      <c r="O69" s="131">
        <v>0.15</v>
      </c>
      <c r="P69" s="131">
        <v>0.15</v>
      </c>
      <c r="Q69" s="131">
        <v>0.25</v>
      </c>
      <c r="R69" s="163">
        <v>0.25</v>
      </c>
    </row>
    <row r="70" spans="2:18" s="298" customFormat="1" x14ac:dyDescent="0.35">
      <c r="B70" s="428"/>
      <c r="C70" s="129" t="s">
        <v>247</v>
      </c>
      <c r="D70" s="129"/>
      <c r="E70" s="353">
        <f>E71*E16*12</f>
        <v>0</v>
      </c>
      <c r="F70" s="353">
        <f t="shared" ref="F70:I70" si="3">F71*F16*12</f>
        <v>960</v>
      </c>
      <c r="G70" s="353">
        <f t="shared" si="3"/>
        <v>1080</v>
      </c>
      <c r="H70" s="353">
        <f t="shared" si="3"/>
        <v>1200</v>
      </c>
      <c r="I70" s="353">
        <f t="shared" si="3"/>
        <v>1200</v>
      </c>
      <c r="K70" s="428"/>
      <c r="L70" s="376"/>
      <c r="M70" s="376"/>
      <c r="N70" s="377"/>
      <c r="O70" s="377"/>
      <c r="P70" s="377"/>
      <c r="Q70" s="377"/>
      <c r="R70" s="377"/>
    </row>
    <row r="71" spans="2:18" s="298" customFormat="1" x14ac:dyDescent="0.35">
      <c r="B71" s="428"/>
      <c r="C71" s="129" t="s">
        <v>246</v>
      </c>
      <c r="D71" s="129"/>
      <c r="E71" s="353">
        <v>10</v>
      </c>
      <c r="F71" s="353">
        <v>10</v>
      </c>
      <c r="G71" s="353">
        <v>10</v>
      </c>
      <c r="H71" s="353">
        <v>10</v>
      </c>
      <c r="I71" s="353">
        <v>10</v>
      </c>
      <c r="K71" s="378"/>
      <c r="L71" s="379"/>
      <c r="M71" s="379"/>
      <c r="N71" s="380"/>
      <c r="O71" s="380"/>
      <c r="P71" s="380"/>
      <c r="Q71" s="380"/>
      <c r="R71" s="380"/>
    </row>
    <row r="72" spans="2:18" s="298" customFormat="1" x14ac:dyDescent="0.35">
      <c r="B72" s="430"/>
      <c r="C72" s="355" t="s">
        <v>245</v>
      </c>
      <c r="D72" s="129"/>
      <c r="E72" s="353">
        <f>E70*0.05</f>
        <v>0</v>
      </c>
      <c r="F72" s="353">
        <f t="shared" ref="F72:I72" si="4">F70*0.05</f>
        <v>48</v>
      </c>
      <c r="G72" s="353">
        <f t="shared" si="4"/>
        <v>54</v>
      </c>
      <c r="H72" s="353">
        <f t="shared" si="4"/>
        <v>60</v>
      </c>
      <c r="I72" s="353">
        <f t="shared" si="4"/>
        <v>60</v>
      </c>
      <c r="K72" s="299"/>
      <c r="L72" s="300"/>
      <c r="M72" s="300"/>
      <c r="N72" s="354"/>
      <c r="O72" s="354"/>
      <c r="P72" s="354"/>
      <c r="Q72" s="354"/>
      <c r="R72" s="354"/>
    </row>
    <row r="75" spans="2:18" ht="15" thickBot="1" x14ac:dyDescent="0.4">
      <c r="B75" s="425" t="s">
        <v>53</v>
      </c>
      <c r="C75" s="381" t="s">
        <v>102</v>
      </c>
      <c r="D75" s="158">
        <v>2018</v>
      </c>
      <c r="E75" s="158">
        <v>2019</v>
      </c>
      <c r="F75" s="158">
        <v>2020</v>
      </c>
      <c r="G75" s="158">
        <v>2021</v>
      </c>
      <c r="H75" s="158">
        <v>2022</v>
      </c>
      <c r="I75" s="158">
        <v>2023</v>
      </c>
      <c r="K75" s="425" t="s">
        <v>53</v>
      </c>
      <c r="L75" s="158" t="s">
        <v>102</v>
      </c>
      <c r="M75" s="158">
        <v>2018</v>
      </c>
      <c r="N75" s="158">
        <v>2019</v>
      </c>
      <c r="O75" s="158">
        <v>2020</v>
      </c>
      <c r="P75" s="158">
        <v>2021</v>
      </c>
      <c r="Q75" s="158">
        <v>2022</v>
      </c>
      <c r="R75" s="158">
        <v>2023</v>
      </c>
    </row>
    <row r="76" spans="2:18" x14ac:dyDescent="0.35">
      <c r="B76" s="426"/>
      <c r="C76" s="382" t="s">
        <v>130</v>
      </c>
      <c r="D76" s="161"/>
      <c r="E76" s="161">
        <v>0.6</v>
      </c>
      <c r="F76" s="161">
        <v>0.6</v>
      </c>
      <c r="G76" s="161">
        <v>0.6</v>
      </c>
      <c r="H76" s="161">
        <v>0.6</v>
      </c>
      <c r="I76" s="161">
        <v>0.6</v>
      </c>
      <c r="K76" s="428"/>
      <c r="L76" s="160"/>
      <c r="M76" s="161"/>
      <c r="N76" s="161"/>
      <c r="O76" s="161"/>
      <c r="P76" s="161"/>
      <c r="Q76" s="161"/>
      <c r="R76" s="161"/>
    </row>
    <row r="77" spans="2:18" x14ac:dyDescent="0.35">
      <c r="B77" s="426"/>
      <c r="C77" s="303" t="s">
        <v>131</v>
      </c>
      <c r="D77" s="131"/>
      <c r="E77" s="131">
        <v>0.4</v>
      </c>
      <c r="F77" s="131">
        <v>0.4</v>
      </c>
      <c r="G77" s="131">
        <v>0.4</v>
      </c>
      <c r="H77" s="131">
        <v>0.4</v>
      </c>
      <c r="I77" s="131">
        <v>0.4</v>
      </c>
      <c r="K77" s="428"/>
      <c r="L77" s="162"/>
      <c r="M77" s="131"/>
      <c r="N77" s="131"/>
      <c r="O77" s="131"/>
      <c r="P77" s="131"/>
      <c r="Q77" s="131"/>
      <c r="R77" s="131"/>
    </row>
    <row r="78" spans="2:18" x14ac:dyDescent="0.35">
      <c r="B78" s="426"/>
      <c r="C78" s="300" t="s">
        <v>125</v>
      </c>
      <c r="D78" s="131"/>
      <c r="E78" s="131">
        <v>0</v>
      </c>
      <c r="F78" s="131">
        <v>0.1</v>
      </c>
      <c r="G78" s="131">
        <v>0.1</v>
      </c>
      <c r="H78" s="131">
        <v>0.2</v>
      </c>
      <c r="I78" s="163">
        <v>0.2</v>
      </c>
      <c r="K78" s="428"/>
      <c r="L78" s="164" t="s">
        <v>156</v>
      </c>
      <c r="M78" s="131"/>
      <c r="N78" s="131">
        <v>0</v>
      </c>
      <c r="O78" s="131">
        <v>0.15</v>
      </c>
      <c r="P78" s="131">
        <v>0.15</v>
      </c>
      <c r="Q78" s="131">
        <v>0.25</v>
      </c>
      <c r="R78" s="163">
        <v>0.25</v>
      </c>
    </row>
    <row r="79" spans="2:18" x14ac:dyDescent="0.35">
      <c r="B79" s="426"/>
      <c r="C79" s="300" t="s">
        <v>126</v>
      </c>
      <c r="D79" s="129"/>
      <c r="E79" s="167">
        <v>660</v>
      </c>
      <c r="F79" s="167">
        <f>(1-F78)*E79</f>
        <v>594</v>
      </c>
      <c r="G79" s="167">
        <f>(1-G78)*F79</f>
        <v>534.6</v>
      </c>
      <c r="H79" s="167">
        <f>(1-H78)*G79</f>
        <v>427.68000000000006</v>
      </c>
      <c r="I79" s="167">
        <f>(1-I78)*H79</f>
        <v>342.14400000000006</v>
      </c>
      <c r="K79" s="428"/>
      <c r="L79" s="164" t="s">
        <v>126</v>
      </c>
      <c r="M79" s="129"/>
      <c r="N79" s="167">
        <v>561</v>
      </c>
      <c r="O79" s="167">
        <f>(1-O78)*N79</f>
        <v>476.84999999999997</v>
      </c>
      <c r="P79" s="167">
        <f>(1-P78)*O79</f>
        <v>405.32249999999993</v>
      </c>
      <c r="Q79" s="167">
        <f>(1-Q78)*P79</f>
        <v>303.99187499999994</v>
      </c>
      <c r="R79" s="167">
        <f>(1-R78)*Q79</f>
        <v>227.99390624999995</v>
      </c>
    </row>
    <row r="80" spans="2:18" ht="15" thickBot="1" x14ac:dyDescent="0.4">
      <c r="B80" s="426"/>
      <c r="C80" s="383" t="s">
        <v>127</v>
      </c>
      <c r="D80" s="166"/>
      <c r="E80" s="168">
        <v>550</v>
      </c>
      <c r="F80" s="168">
        <f>(1-F78)*E80</f>
        <v>495</v>
      </c>
      <c r="G80" s="168">
        <f>(1-G78)*F80</f>
        <v>445.5</v>
      </c>
      <c r="H80" s="168">
        <f>(1-H78)*G80</f>
        <v>356.40000000000003</v>
      </c>
      <c r="I80" s="168">
        <f>(1-I78)*H80</f>
        <v>285.12000000000006</v>
      </c>
      <c r="K80" s="428"/>
      <c r="L80" s="165" t="s">
        <v>127</v>
      </c>
      <c r="M80" s="166"/>
      <c r="N80" s="168">
        <v>460</v>
      </c>
      <c r="O80" s="168">
        <f>(1-O78)*N80</f>
        <v>391</v>
      </c>
      <c r="P80" s="168">
        <f>(1-P78)*O80</f>
        <v>332.34999999999997</v>
      </c>
      <c r="Q80" s="168">
        <f>(1-Q78)*P80</f>
        <v>249.26249999999999</v>
      </c>
      <c r="R80" s="168">
        <f>(1-R78)*Q80</f>
        <v>186.94687499999998</v>
      </c>
    </row>
    <row r="81" spans="2:18" x14ac:dyDescent="0.35">
      <c r="B81" s="426"/>
      <c r="C81" t="s">
        <v>128</v>
      </c>
      <c r="D81" s="159"/>
      <c r="E81" s="169">
        <v>800</v>
      </c>
      <c r="F81" s="169">
        <f>(1-F82)*E81</f>
        <v>720</v>
      </c>
      <c r="G81" s="169">
        <f>(1-G82)*F81</f>
        <v>648</v>
      </c>
      <c r="H81" s="169">
        <f>(1-H82)*G81</f>
        <v>518.4</v>
      </c>
      <c r="I81" s="169">
        <f>(1-I82)*H81</f>
        <v>414.72</v>
      </c>
      <c r="K81" s="426"/>
      <c r="L81" t="s">
        <v>157</v>
      </c>
      <c r="M81" s="159"/>
      <c r="N81" s="169">
        <v>480</v>
      </c>
      <c r="O81" s="169">
        <f>(1-O82)*N81</f>
        <v>408</v>
      </c>
      <c r="P81" s="169">
        <f>(1-P82)*O81</f>
        <v>346.8</v>
      </c>
      <c r="Q81" s="169">
        <f>(1-Q82)*P81</f>
        <v>260.10000000000002</v>
      </c>
      <c r="R81" s="169">
        <f>(1-R82)*Q81</f>
        <v>195.07500000000002</v>
      </c>
    </row>
    <row r="82" spans="2:18" x14ac:dyDescent="0.35">
      <c r="B82" s="426"/>
      <c r="C82" s="303" t="s">
        <v>129</v>
      </c>
      <c r="D82" s="129"/>
      <c r="E82" s="131">
        <v>0</v>
      </c>
      <c r="F82" s="131">
        <v>0.1</v>
      </c>
      <c r="G82" s="131">
        <v>0.1</v>
      </c>
      <c r="H82" s="131">
        <v>0.2</v>
      </c>
      <c r="I82" s="131">
        <v>0.2</v>
      </c>
      <c r="K82" s="427"/>
      <c r="L82" s="129" t="s">
        <v>158</v>
      </c>
      <c r="M82" s="129"/>
      <c r="N82" s="131">
        <v>0</v>
      </c>
      <c r="O82" s="131">
        <v>0.15</v>
      </c>
      <c r="P82" s="131">
        <v>0.15</v>
      </c>
      <c r="Q82" s="131">
        <v>0.25</v>
      </c>
      <c r="R82" s="163">
        <v>0.25</v>
      </c>
    </row>
    <row r="83" spans="2:18" s="298" customFormat="1" x14ac:dyDescent="0.35">
      <c r="B83" s="426"/>
      <c r="C83" s="303" t="s">
        <v>247</v>
      </c>
      <c r="D83" s="129"/>
      <c r="E83" s="353">
        <v>0</v>
      </c>
      <c r="F83" s="353">
        <f>E70</f>
        <v>0</v>
      </c>
      <c r="G83" s="353">
        <f t="shared" ref="G83:I83" si="5">F70</f>
        <v>960</v>
      </c>
      <c r="H83" s="353">
        <f t="shared" si="5"/>
        <v>1080</v>
      </c>
      <c r="I83" s="353">
        <f t="shared" si="5"/>
        <v>1200</v>
      </c>
      <c r="K83" s="299"/>
      <c r="L83" s="300"/>
      <c r="M83" s="300"/>
      <c r="N83" s="301"/>
      <c r="O83" s="301"/>
      <c r="P83" s="301"/>
      <c r="Q83" s="301"/>
      <c r="R83" s="301"/>
    </row>
    <row r="84" spans="2:18" s="298" customFormat="1" x14ac:dyDescent="0.35">
      <c r="B84" s="426"/>
      <c r="C84" s="303" t="s">
        <v>246</v>
      </c>
      <c r="D84" s="129"/>
      <c r="E84" s="353">
        <v>0</v>
      </c>
      <c r="F84" s="353">
        <v>10</v>
      </c>
      <c r="G84" s="353">
        <v>10</v>
      </c>
      <c r="H84" s="353">
        <v>10</v>
      </c>
      <c r="I84" s="353">
        <v>10</v>
      </c>
      <c r="K84" s="299"/>
      <c r="L84" s="300"/>
      <c r="M84" s="300"/>
      <c r="N84" s="301"/>
      <c r="O84" s="301"/>
      <c r="P84" s="301"/>
      <c r="Q84" s="301"/>
      <c r="R84" s="301"/>
    </row>
    <row r="85" spans="2:18" s="298" customFormat="1" x14ac:dyDescent="0.35">
      <c r="B85" s="427"/>
      <c r="C85" s="384" t="s">
        <v>245</v>
      </c>
      <c r="D85" s="129"/>
      <c r="E85" s="353">
        <v>0</v>
      </c>
      <c r="F85" s="353">
        <f t="shared" ref="F85:I85" si="6">F83*0.05</f>
        <v>0</v>
      </c>
      <c r="G85" s="353">
        <f t="shared" si="6"/>
        <v>48</v>
      </c>
      <c r="H85" s="353">
        <f t="shared" si="6"/>
        <v>54</v>
      </c>
      <c r="I85" s="353">
        <f t="shared" si="6"/>
        <v>60</v>
      </c>
      <c r="K85" s="299"/>
      <c r="L85" s="300"/>
      <c r="M85" s="300"/>
      <c r="N85" s="301"/>
      <c r="O85" s="301"/>
      <c r="P85" s="301"/>
      <c r="Q85" s="301"/>
      <c r="R85" s="301"/>
    </row>
    <row r="88" spans="2:18" ht="15" thickBot="1" x14ac:dyDescent="0.4">
      <c r="B88" s="425" t="s">
        <v>117</v>
      </c>
      <c r="C88" s="381" t="s">
        <v>102</v>
      </c>
      <c r="D88" s="158">
        <v>2018</v>
      </c>
      <c r="E88" s="158">
        <v>2019</v>
      </c>
      <c r="F88" s="158">
        <v>2020</v>
      </c>
      <c r="G88" s="158">
        <v>2021</v>
      </c>
      <c r="H88" s="158">
        <v>2022</v>
      </c>
      <c r="I88" s="158">
        <v>2023</v>
      </c>
      <c r="K88" s="425" t="s">
        <v>117</v>
      </c>
      <c r="L88" s="158" t="s">
        <v>102</v>
      </c>
      <c r="M88" s="158">
        <v>2018</v>
      </c>
      <c r="N88" s="158">
        <v>2019</v>
      </c>
      <c r="O88" s="158">
        <v>2020</v>
      </c>
      <c r="P88" s="158">
        <v>2021</v>
      </c>
      <c r="Q88" s="158">
        <v>2022</v>
      </c>
      <c r="R88" s="158">
        <v>2023</v>
      </c>
    </row>
    <row r="89" spans="2:18" x14ac:dyDescent="0.35">
      <c r="B89" s="426"/>
      <c r="C89" s="382" t="s">
        <v>130</v>
      </c>
      <c r="D89" s="161"/>
      <c r="E89" s="161">
        <v>0.6</v>
      </c>
      <c r="F89" s="161">
        <v>0.6</v>
      </c>
      <c r="G89" s="161">
        <v>0.6</v>
      </c>
      <c r="H89" s="161">
        <v>0.6</v>
      </c>
      <c r="I89" s="161">
        <v>0.6</v>
      </c>
      <c r="K89" s="428"/>
      <c r="L89" s="160"/>
      <c r="M89" s="161"/>
      <c r="N89" s="161"/>
      <c r="O89" s="161"/>
      <c r="P89" s="161"/>
      <c r="Q89" s="161"/>
      <c r="R89" s="161"/>
    </row>
    <row r="90" spans="2:18" x14ac:dyDescent="0.35">
      <c r="B90" s="426"/>
      <c r="C90" s="303" t="s">
        <v>131</v>
      </c>
      <c r="D90" s="131"/>
      <c r="E90" s="131">
        <v>0.4</v>
      </c>
      <c r="F90" s="131">
        <v>0.4</v>
      </c>
      <c r="G90" s="131">
        <v>0.4</v>
      </c>
      <c r="H90" s="131">
        <v>0.4</v>
      </c>
      <c r="I90" s="131">
        <v>0.4</v>
      </c>
      <c r="K90" s="428"/>
      <c r="L90" s="162"/>
      <c r="M90" s="131"/>
      <c r="N90" s="131"/>
      <c r="O90" s="131"/>
      <c r="P90" s="131"/>
      <c r="Q90" s="131"/>
      <c r="R90" s="131"/>
    </row>
    <row r="91" spans="2:18" x14ac:dyDescent="0.35">
      <c r="B91" s="426"/>
      <c r="C91" s="300" t="s">
        <v>125</v>
      </c>
      <c r="D91" s="131"/>
      <c r="E91" s="131">
        <v>0</v>
      </c>
      <c r="F91" s="131">
        <v>0.1</v>
      </c>
      <c r="G91" s="131">
        <v>0.1</v>
      </c>
      <c r="H91" s="131">
        <v>0.2</v>
      </c>
      <c r="I91" s="163">
        <v>0.2</v>
      </c>
      <c r="K91" s="428"/>
      <c r="L91" s="164" t="s">
        <v>156</v>
      </c>
      <c r="M91" s="131"/>
      <c r="N91" s="131">
        <v>0</v>
      </c>
      <c r="O91" s="131">
        <v>0.15</v>
      </c>
      <c r="P91" s="131">
        <v>0.15</v>
      </c>
      <c r="Q91" s="131">
        <v>0.25</v>
      </c>
      <c r="R91" s="163">
        <v>0.25</v>
      </c>
    </row>
    <row r="92" spans="2:18" x14ac:dyDescent="0.35">
      <c r="B92" s="426"/>
      <c r="C92" s="300" t="s">
        <v>126</v>
      </c>
      <c r="D92" s="129"/>
      <c r="E92" s="167">
        <v>660</v>
      </c>
      <c r="F92" s="167">
        <f>(1-F91)*E92</f>
        <v>594</v>
      </c>
      <c r="G92" s="167">
        <f>(1-G91)*F92</f>
        <v>534.6</v>
      </c>
      <c r="H92" s="167">
        <f>(1-H91)*G92</f>
        <v>427.68000000000006</v>
      </c>
      <c r="I92" s="167">
        <f>(1-I91)*H92</f>
        <v>342.14400000000006</v>
      </c>
      <c r="K92" s="428"/>
      <c r="L92" s="164" t="s">
        <v>126</v>
      </c>
      <c r="M92" s="129"/>
      <c r="N92" s="167">
        <v>561</v>
      </c>
      <c r="O92" s="167">
        <f>(1-O91)*N92</f>
        <v>476.84999999999997</v>
      </c>
      <c r="P92" s="167">
        <f>(1-P91)*O92</f>
        <v>405.32249999999993</v>
      </c>
      <c r="Q92" s="167">
        <f>(1-Q91)*P92</f>
        <v>303.99187499999994</v>
      </c>
      <c r="R92" s="167">
        <f>(1-R91)*Q92</f>
        <v>227.99390624999995</v>
      </c>
    </row>
    <row r="93" spans="2:18" ht="15" thickBot="1" x14ac:dyDescent="0.4">
      <c r="B93" s="426"/>
      <c r="C93" s="383" t="s">
        <v>127</v>
      </c>
      <c r="D93" s="166"/>
      <c r="E93" s="168">
        <v>550</v>
      </c>
      <c r="F93" s="168">
        <f>(1-F91)*E93</f>
        <v>495</v>
      </c>
      <c r="G93" s="168">
        <f>(1-G91)*F93</f>
        <v>445.5</v>
      </c>
      <c r="H93" s="168">
        <f>(1-H91)*G93</f>
        <v>356.40000000000003</v>
      </c>
      <c r="I93" s="168">
        <f>(1-I91)*H93</f>
        <v>285.12000000000006</v>
      </c>
      <c r="K93" s="428"/>
      <c r="L93" s="165" t="s">
        <v>127</v>
      </c>
      <c r="M93" s="166"/>
      <c r="N93" s="168">
        <v>460</v>
      </c>
      <c r="O93" s="168">
        <f>(1-O91)*N93</f>
        <v>391</v>
      </c>
      <c r="P93" s="168">
        <f>(1-P91)*O93</f>
        <v>332.34999999999997</v>
      </c>
      <c r="Q93" s="168">
        <f>(1-Q91)*P93</f>
        <v>249.26249999999999</v>
      </c>
      <c r="R93" s="168">
        <f>(1-R91)*Q93</f>
        <v>186.94687499999998</v>
      </c>
    </row>
    <row r="94" spans="2:18" x14ac:dyDescent="0.35">
      <c r="B94" s="426"/>
      <c r="C94" t="s">
        <v>128</v>
      </c>
      <c r="D94" s="159"/>
      <c r="E94" s="169">
        <v>800</v>
      </c>
      <c r="F94" s="169">
        <f>(1-F95)*E94</f>
        <v>720</v>
      </c>
      <c r="G94" s="169">
        <f>(1-G95)*F94</f>
        <v>648</v>
      </c>
      <c r="H94" s="169">
        <f>(1-H95)*G94</f>
        <v>518.4</v>
      </c>
      <c r="I94" s="169">
        <f>(1-I95)*H94</f>
        <v>414.72</v>
      </c>
      <c r="K94" s="426"/>
      <c r="L94" t="s">
        <v>157</v>
      </c>
      <c r="M94" s="159"/>
      <c r="N94" s="169">
        <v>480</v>
      </c>
      <c r="O94" s="169">
        <f>(1-O95)*N94</f>
        <v>408</v>
      </c>
      <c r="P94" s="169">
        <f>(1-P95)*O94</f>
        <v>346.8</v>
      </c>
      <c r="Q94" s="169">
        <f>(1-Q95)*P94</f>
        <v>260.10000000000002</v>
      </c>
      <c r="R94" s="169">
        <f>(1-R95)*Q94</f>
        <v>195.07500000000002</v>
      </c>
    </row>
    <row r="95" spans="2:18" x14ac:dyDescent="0.35">
      <c r="B95" s="426"/>
      <c r="C95" s="303" t="s">
        <v>129</v>
      </c>
      <c r="D95" s="129"/>
      <c r="E95" s="131">
        <v>0</v>
      </c>
      <c r="F95" s="131">
        <v>0.1</v>
      </c>
      <c r="G95" s="131">
        <v>0.1</v>
      </c>
      <c r="H95" s="131">
        <v>0.2</v>
      </c>
      <c r="I95" s="131">
        <v>0.2</v>
      </c>
      <c r="K95" s="427"/>
      <c r="L95" s="129" t="s">
        <v>158</v>
      </c>
      <c r="M95" s="129"/>
      <c r="N95" s="131">
        <v>0</v>
      </c>
      <c r="O95" s="131">
        <v>0.15</v>
      </c>
      <c r="P95" s="131">
        <v>0.15</v>
      </c>
      <c r="Q95" s="131">
        <v>0.25</v>
      </c>
      <c r="R95" s="163">
        <v>0.25</v>
      </c>
    </row>
    <row r="96" spans="2:18" s="298" customFormat="1" x14ac:dyDescent="0.35">
      <c r="B96" s="426"/>
      <c r="C96" s="303" t="s">
        <v>247</v>
      </c>
      <c r="D96" s="129"/>
      <c r="E96" s="353">
        <v>0</v>
      </c>
      <c r="F96" s="353">
        <v>0</v>
      </c>
      <c r="G96" s="353">
        <f>F83</f>
        <v>0</v>
      </c>
      <c r="H96" s="353">
        <f t="shared" ref="H96:I96" si="7">G83</f>
        <v>960</v>
      </c>
      <c r="I96" s="353">
        <f t="shared" si="7"/>
        <v>1080</v>
      </c>
      <c r="K96" s="299"/>
      <c r="L96" s="300"/>
      <c r="M96" s="300"/>
      <c r="N96" s="301"/>
      <c r="O96" s="301"/>
      <c r="P96" s="301"/>
      <c r="Q96" s="301"/>
      <c r="R96" s="301"/>
    </row>
    <row r="97" spans="2:18" s="298" customFormat="1" x14ac:dyDescent="0.35">
      <c r="B97" s="426"/>
      <c r="C97" s="303" t="s">
        <v>246</v>
      </c>
      <c r="D97" s="129"/>
      <c r="E97" s="353">
        <v>0</v>
      </c>
      <c r="F97" s="353">
        <v>0</v>
      </c>
      <c r="G97" s="353">
        <v>10</v>
      </c>
      <c r="H97" s="353">
        <v>10</v>
      </c>
      <c r="I97" s="353">
        <v>10</v>
      </c>
      <c r="K97" s="299"/>
      <c r="L97" s="300"/>
      <c r="M97" s="300"/>
      <c r="N97" s="301"/>
      <c r="O97" s="301"/>
      <c r="P97" s="301"/>
      <c r="Q97" s="301"/>
      <c r="R97" s="301"/>
    </row>
    <row r="98" spans="2:18" s="298" customFormat="1" x14ac:dyDescent="0.35">
      <c r="B98" s="427"/>
      <c r="C98" s="384" t="s">
        <v>245</v>
      </c>
      <c r="D98" s="129"/>
      <c r="E98" s="353">
        <v>0</v>
      </c>
      <c r="F98" s="353">
        <v>0</v>
      </c>
      <c r="G98" s="353">
        <f t="shared" ref="G98:I98" si="8">G96*0.05</f>
        <v>0</v>
      </c>
      <c r="H98" s="353">
        <f t="shared" si="8"/>
        <v>48</v>
      </c>
      <c r="I98" s="353">
        <f t="shared" si="8"/>
        <v>54</v>
      </c>
      <c r="K98" s="299"/>
      <c r="L98" s="300"/>
      <c r="M98" s="300"/>
      <c r="N98" s="301"/>
      <c r="O98" s="301"/>
      <c r="P98" s="301"/>
      <c r="Q98" s="301"/>
      <c r="R98" s="301"/>
    </row>
    <row r="101" spans="2:18" ht="15" thickBot="1" x14ac:dyDescent="0.4">
      <c r="B101" s="425" t="s">
        <v>119</v>
      </c>
      <c r="C101" s="381" t="s">
        <v>102</v>
      </c>
      <c r="D101" s="158">
        <v>2018</v>
      </c>
      <c r="E101" s="158">
        <v>2019</v>
      </c>
      <c r="F101" s="158">
        <v>2020</v>
      </c>
      <c r="G101" s="158">
        <v>2021</v>
      </c>
      <c r="H101" s="158">
        <v>2022</v>
      </c>
      <c r="I101" s="158">
        <v>2023</v>
      </c>
      <c r="K101" s="425" t="s">
        <v>119</v>
      </c>
      <c r="L101" s="158" t="s">
        <v>102</v>
      </c>
      <c r="M101" s="158">
        <v>2018</v>
      </c>
      <c r="N101" s="158">
        <v>2019</v>
      </c>
      <c r="O101" s="158">
        <v>2020</v>
      </c>
      <c r="P101" s="158">
        <v>2021</v>
      </c>
      <c r="Q101" s="158">
        <v>2022</v>
      </c>
      <c r="R101" s="158">
        <v>2023</v>
      </c>
    </row>
    <row r="102" spans="2:18" x14ac:dyDescent="0.35">
      <c r="B102" s="426"/>
      <c r="C102" s="382" t="s">
        <v>130</v>
      </c>
      <c r="D102" s="161"/>
      <c r="E102" s="161">
        <v>0.6</v>
      </c>
      <c r="F102" s="161">
        <v>0.6</v>
      </c>
      <c r="G102" s="161">
        <v>0.6</v>
      </c>
      <c r="H102" s="161">
        <v>0.6</v>
      </c>
      <c r="I102" s="161">
        <v>0.6</v>
      </c>
      <c r="K102" s="428"/>
      <c r="L102" s="160"/>
      <c r="M102" s="161"/>
      <c r="N102" s="161"/>
      <c r="O102" s="161"/>
      <c r="P102" s="161"/>
      <c r="Q102" s="161"/>
      <c r="R102" s="161"/>
    </row>
    <row r="103" spans="2:18" x14ac:dyDescent="0.35">
      <c r="B103" s="426"/>
      <c r="C103" s="303" t="s">
        <v>131</v>
      </c>
      <c r="D103" s="131"/>
      <c r="E103" s="131">
        <v>0.4</v>
      </c>
      <c r="F103" s="131">
        <v>0.4</v>
      </c>
      <c r="G103" s="131">
        <v>0.4</v>
      </c>
      <c r="H103" s="131">
        <v>0.4</v>
      </c>
      <c r="I103" s="131">
        <v>0.4</v>
      </c>
      <c r="K103" s="428"/>
      <c r="L103" s="162"/>
      <c r="M103" s="131"/>
      <c r="N103" s="131"/>
      <c r="O103" s="131"/>
      <c r="P103" s="131"/>
      <c r="Q103" s="131"/>
      <c r="R103" s="131"/>
    </row>
    <row r="104" spans="2:18" x14ac:dyDescent="0.35">
      <c r="B104" s="426"/>
      <c r="C104" s="300" t="s">
        <v>125</v>
      </c>
      <c r="D104" s="131"/>
      <c r="E104" s="131">
        <v>0</v>
      </c>
      <c r="F104" s="131">
        <v>0.1</v>
      </c>
      <c r="G104" s="131">
        <v>0.1</v>
      </c>
      <c r="H104" s="131">
        <v>0.2</v>
      </c>
      <c r="I104" s="163">
        <v>0.2</v>
      </c>
      <c r="K104" s="428"/>
      <c r="L104" s="164" t="s">
        <v>156</v>
      </c>
      <c r="M104" s="131"/>
      <c r="N104" s="131">
        <v>0</v>
      </c>
      <c r="O104" s="131">
        <v>0.15</v>
      </c>
      <c r="P104" s="131">
        <v>0.15</v>
      </c>
      <c r="Q104" s="131">
        <v>0.25</v>
      </c>
      <c r="R104" s="163">
        <v>0.25</v>
      </c>
    </row>
    <row r="105" spans="2:18" x14ac:dyDescent="0.35">
      <c r="B105" s="426"/>
      <c r="C105" s="300" t="s">
        <v>126</v>
      </c>
      <c r="D105" s="129"/>
      <c r="E105" s="167">
        <v>660</v>
      </c>
      <c r="F105" s="167">
        <f>(1-F104)*E105</f>
        <v>594</v>
      </c>
      <c r="G105" s="167">
        <f>(1-G104)*F105</f>
        <v>534.6</v>
      </c>
      <c r="H105" s="167">
        <f>(1-H104)*G105</f>
        <v>427.68000000000006</v>
      </c>
      <c r="I105" s="167">
        <f>(1-I104)*H105</f>
        <v>342.14400000000006</v>
      </c>
      <c r="K105" s="428"/>
      <c r="L105" s="164" t="s">
        <v>126</v>
      </c>
      <c r="M105" s="129"/>
      <c r="N105" s="167">
        <v>561</v>
      </c>
      <c r="O105" s="167">
        <f>(1-O104)*N105</f>
        <v>476.84999999999997</v>
      </c>
      <c r="P105" s="167">
        <f>(1-P104)*O105</f>
        <v>405.32249999999993</v>
      </c>
      <c r="Q105" s="167">
        <f>(1-Q104)*P105</f>
        <v>303.99187499999994</v>
      </c>
      <c r="R105" s="167">
        <f>(1-R104)*Q105</f>
        <v>227.99390624999995</v>
      </c>
    </row>
    <row r="106" spans="2:18" ht="15" thickBot="1" x14ac:dyDescent="0.4">
      <c r="B106" s="426"/>
      <c r="C106" s="383" t="s">
        <v>127</v>
      </c>
      <c r="D106" s="166"/>
      <c r="E106" s="168">
        <v>550</v>
      </c>
      <c r="F106" s="168">
        <f>(1-F104)*E106</f>
        <v>495</v>
      </c>
      <c r="G106" s="168">
        <f>(1-G104)*F106</f>
        <v>445.5</v>
      </c>
      <c r="H106" s="168">
        <f>(1-H104)*G106</f>
        <v>356.40000000000003</v>
      </c>
      <c r="I106" s="168">
        <f>(1-I104)*H106</f>
        <v>285.12000000000006</v>
      </c>
      <c r="K106" s="428"/>
      <c r="L106" s="165" t="s">
        <v>127</v>
      </c>
      <c r="M106" s="166"/>
      <c r="N106" s="168">
        <v>460</v>
      </c>
      <c r="O106" s="168">
        <f>(1-O104)*N106</f>
        <v>391</v>
      </c>
      <c r="P106" s="168">
        <f>(1-P104)*O106</f>
        <v>332.34999999999997</v>
      </c>
      <c r="Q106" s="168">
        <f>(1-Q104)*P106</f>
        <v>249.26249999999999</v>
      </c>
      <c r="R106" s="168">
        <f>(1-R104)*Q106</f>
        <v>186.94687499999998</v>
      </c>
    </row>
    <row r="107" spans="2:18" x14ac:dyDescent="0.35">
      <c r="B107" s="426"/>
      <c r="C107" t="s">
        <v>128</v>
      </c>
      <c r="D107" s="159"/>
      <c r="E107" s="169">
        <v>800</v>
      </c>
      <c r="F107" s="169">
        <f>(1-F108)*E107</f>
        <v>720</v>
      </c>
      <c r="G107" s="169">
        <f>(1-G108)*F107</f>
        <v>648</v>
      </c>
      <c r="H107" s="169">
        <f>(1-H108)*G107</f>
        <v>518.4</v>
      </c>
      <c r="I107" s="169">
        <f>(1-I108)*H107</f>
        <v>414.72</v>
      </c>
      <c r="K107" s="426"/>
      <c r="L107" t="s">
        <v>157</v>
      </c>
      <c r="M107" s="159"/>
      <c r="N107" s="169">
        <v>480</v>
      </c>
      <c r="O107" s="169">
        <f>(1-O108)*N107</f>
        <v>408</v>
      </c>
      <c r="P107" s="169">
        <f>(1-P108)*O107</f>
        <v>346.8</v>
      </c>
      <c r="Q107" s="169">
        <f>(1-Q108)*P107</f>
        <v>260.10000000000002</v>
      </c>
      <c r="R107" s="169">
        <f>(1-R108)*Q107</f>
        <v>195.07500000000002</v>
      </c>
    </row>
    <row r="108" spans="2:18" x14ac:dyDescent="0.35">
      <c r="B108" s="426"/>
      <c r="C108" s="303" t="s">
        <v>129</v>
      </c>
      <c r="D108" s="129"/>
      <c r="E108" s="131">
        <v>0</v>
      </c>
      <c r="F108" s="131">
        <v>0.1</v>
      </c>
      <c r="G108" s="131">
        <v>0.1</v>
      </c>
      <c r="H108" s="131">
        <v>0.2</v>
      </c>
      <c r="I108" s="131">
        <v>0.2</v>
      </c>
      <c r="K108" s="427"/>
      <c r="L108" s="129" t="s">
        <v>158</v>
      </c>
      <c r="M108" s="129"/>
      <c r="N108" s="131">
        <v>0</v>
      </c>
      <c r="O108" s="131">
        <v>0.15</v>
      </c>
      <c r="P108" s="131">
        <v>0.15</v>
      </c>
      <c r="Q108" s="131">
        <v>0.25</v>
      </c>
      <c r="R108" s="163">
        <v>0.25</v>
      </c>
    </row>
    <row r="109" spans="2:18" s="298" customFormat="1" x14ac:dyDescent="0.35">
      <c r="B109" s="426"/>
      <c r="C109" s="303" t="s">
        <v>247</v>
      </c>
      <c r="D109" s="129"/>
      <c r="E109" s="353">
        <v>0</v>
      </c>
      <c r="F109" s="353">
        <v>0</v>
      </c>
      <c r="G109" s="353">
        <f>G96</f>
        <v>0</v>
      </c>
      <c r="H109" s="353">
        <f t="shared" ref="H109:I109" si="9">H96</f>
        <v>960</v>
      </c>
      <c r="I109" s="353">
        <f t="shared" si="9"/>
        <v>1080</v>
      </c>
      <c r="K109" s="299"/>
      <c r="L109" s="300"/>
      <c r="M109" s="300"/>
      <c r="N109" s="301"/>
      <c r="O109" s="301"/>
      <c r="P109" s="301"/>
      <c r="Q109" s="301"/>
      <c r="R109" s="301"/>
    </row>
    <row r="110" spans="2:18" s="298" customFormat="1" x14ac:dyDescent="0.35">
      <c r="B110" s="426"/>
      <c r="C110" s="303" t="s">
        <v>246</v>
      </c>
      <c r="D110" s="129"/>
      <c r="E110" s="353">
        <v>0</v>
      </c>
      <c r="F110" s="353">
        <v>0</v>
      </c>
      <c r="G110" s="353">
        <v>10</v>
      </c>
      <c r="H110" s="353">
        <v>10</v>
      </c>
      <c r="I110" s="353">
        <v>10</v>
      </c>
      <c r="K110" s="299"/>
      <c r="L110" s="300"/>
      <c r="M110" s="300"/>
      <c r="N110" s="301"/>
      <c r="O110" s="301"/>
      <c r="P110" s="301"/>
      <c r="Q110" s="301"/>
      <c r="R110" s="301"/>
    </row>
    <row r="111" spans="2:18" s="298" customFormat="1" x14ac:dyDescent="0.35">
      <c r="B111" s="427"/>
      <c r="C111" s="384" t="s">
        <v>245</v>
      </c>
      <c r="D111" s="129"/>
      <c r="E111" s="353">
        <v>0</v>
      </c>
      <c r="F111" s="353">
        <v>0</v>
      </c>
      <c r="G111" s="353">
        <f t="shared" ref="G111:I111" si="10">G109*0.05</f>
        <v>0</v>
      </c>
      <c r="H111" s="353">
        <f t="shared" si="10"/>
        <v>48</v>
      </c>
      <c r="I111" s="353">
        <f t="shared" si="10"/>
        <v>54</v>
      </c>
      <c r="K111" s="299"/>
      <c r="L111" s="300"/>
      <c r="M111" s="300"/>
      <c r="N111" s="301"/>
      <c r="O111" s="301"/>
      <c r="P111" s="301"/>
      <c r="Q111" s="301"/>
      <c r="R111" s="301"/>
    </row>
    <row r="113" spans="2:9" x14ac:dyDescent="0.35">
      <c r="B113" s="125" t="s">
        <v>73</v>
      </c>
    </row>
    <row r="114" spans="2:9" x14ac:dyDescent="0.35">
      <c r="B114" s="425" t="s">
        <v>196</v>
      </c>
      <c r="C114" s="130" t="s">
        <v>102</v>
      </c>
      <c r="D114" s="130">
        <v>2018</v>
      </c>
      <c r="E114" s="130">
        <v>2019</v>
      </c>
      <c r="F114" s="130">
        <v>2020</v>
      </c>
      <c r="G114" s="130">
        <v>2021</v>
      </c>
      <c r="H114" s="130">
        <v>2022</v>
      </c>
      <c r="I114" s="130">
        <v>2023</v>
      </c>
    </row>
    <row r="115" spans="2:9" x14ac:dyDescent="0.35">
      <c r="B115" s="426"/>
      <c r="C115" s="129" t="s">
        <v>197</v>
      </c>
      <c r="D115" s="241">
        <v>0.74</v>
      </c>
      <c r="E115" s="241">
        <v>0.74</v>
      </c>
      <c r="F115" s="241">
        <v>0.74</v>
      </c>
      <c r="G115" s="241">
        <v>0.74</v>
      </c>
      <c r="H115" s="241">
        <v>0.74</v>
      </c>
      <c r="I115" s="241">
        <v>0.74</v>
      </c>
    </row>
    <row r="116" spans="2:9" x14ac:dyDescent="0.35">
      <c r="B116" s="426"/>
      <c r="C116" s="129" t="s">
        <v>53</v>
      </c>
      <c r="D116" s="241">
        <v>0.74</v>
      </c>
      <c r="E116" s="241">
        <v>0.74</v>
      </c>
      <c r="F116" s="241">
        <v>0.74</v>
      </c>
      <c r="G116" s="241">
        <v>0.74</v>
      </c>
      <c r="H116" s="241">
        <v>0.74</v>
      </c>
      <c r="I116" s="241">
        <v>0.74</v>
      </c>
    </row>
    <row r="117" spans="2:9" x14ac:dyDescent="0.35">
      <c r="B117" s="426"/>
      <c r="C117" s="129" t="s">
        <v>117</v>
      </c>
      <c r="D117" s="241">
        <v>0.74</v>
      </c>
      <c r="E117" s="241">
        <v>0.74</v>
      </c>
      <c r="F117" s="241">
        <v>0.74</v>
      </c>
      <c r="G117" s="241">
        <v>0.74</v>
      </c>
      <c r="H117" s="241">
        <v>0.74</v>
      </c>
      <c r="I117" s="241">
        <v>0.74</v>
      </c>
    </row>
    <row r="118" spans="2:9" x14ac:dyDescent="0.35">
      <c r="B118" s="427"/>
      <c r="C118" s="129" t="s">
        <v>119</v>
      </c>
      <c r="D118" s="241">
        <v>0.74</v>
      </c>
      <c r="E118" s="241">
        <v>0.74</v>
      </c>
      <c r="F118" s="241">
        <v>0.74</v>
      </c>
      <c r="G118" s="241">
        <v>0.74</v>
      </c>
      <c r="H118" s="241">
        <v>0.74</v>
      </c>
      <c r="I118" s="241">
        <v>0.74</v>
      </c>
    </row>
    <row r="121" spans="2:9" x14ac:dyDescent="0.35">
      <c r="B121" s="425" t="s">
        <v>198</v>
      </c>
      <c r="C121" s="130" t="s">
        <v>102</v>
      </c>
      <c r="D121" s="130">
        <v>2018</v>
      </c>
      <c r="E121" s="130">
        <v>2019</v>
      </c>
      <c r="F121" s="130">
        <v>2020</v>
      </c>
      <c r="G121" s="130">
        <v>2021</v>
      </c>
      <c r="H121" s="130">
        <v>2022</v>
      </c>
      <c r="I121" s="130">
        <v>2023</v>
      </c>
    </row>
    <row r="122" spans="2:9" x14ac:dyDescent="0.35">
      <c r="B122" s="426"/>
      <c r="C122" s="129" t="s">
        <v>197</v>
      </c>
      <c r="D122" s="131">
        <v>0.1</v>
      </c>
      <c r="E122" s="131">
        <v>0.1</v>
      </c>
      <c r="F122" s="131">
        <v>0.1</v>
      </c>
      <c r="G122" s="131">
        <v>0.1</v>
      </c>
      <c r="H122" s="131">
        <v>0.1</v>
      </c>
      <c r="I122" s="131">
        <v>0.1</v>
      </c>
    </row>
    <row r="123" spans="2:9" x14ac:dyDescent="0.35">
      <c r="B123" s="426"/>
      <c r="C123" s="129" t="s">
        <v>53</v>
      </c>
      <c r="D123" s="131">
        <v>0.1</v>
      </c>
      <c r="E123" s="131">
        <v>0.1</v>
      </c>
      <c r="F123" s="131">
        <v>0.1</v>
      </c>
      <c r="G123" s="131">
        <v>0.1</v>
      </c>
      <c r="H123" s="131">
        <v>0.1</v>
      </c>
      <c r="I123" s="131">
        <v>0.1</v>
      </c>
    </row>
    <row r="124" spans="2:9" x14ac:dyDescent="0.35">
      <c r="B124" s="426"/>
      <c r="C124" s="129" t="s">
        <v>117</v>
      </c>
      <c r="D124" s="131">
        <v>0.1</v>
      </c>
      <c r="E124" s="131">
        <v>0.1</v>
      </c>
      <c r="F124" s="131">
        <v>0.1</v>
      </c>
      <c r="G124" s="131">
        <v>0.1</v>
      </c>
      <c r="H124" s="131">
        <v>0.1</v>
      </c>
      <c r="I124" s="131">
        <v>0.1</v>
      </c>
    </row>
    <row r="125" spans="2:9" x14ac:dyDescent="0.35">
      <c r="B125" s="427"/>
      <c r="C125" s="129" t="s">
        <v>119</v>
      </c>
      <c r="D125" s="131">
        <v>0.1</v>
      </c>
      <c r="E125" s="131">
        <v>0.1</v>
      </c>
      <c r="F125" s="131">
        <v>0.1</v>
      </c>
      <c r="G125" s="131">
        <v>0.1</v>
      </c>
      <c r="H125" s="131">
        <v>0.1</v>
      </c>
      <c r="I125" s="131">
        <v>0.1</v>
      </c>
    </row>
    <row r="127" spans="2:9" x14ac:dyDescent="0.35">
      <c r="B127" s="425" t="s">
        <v>199</v>
      </c>
      <c r="C127" s="130" t="s">
        <v>102</v>
      </c>
      <c r="D127" s="130">
        <v>2018</v>
      </c>
      <c r="E127" s="130">
        <v>2019</v>
      </c>
      <c r="F127" s="130">
        <v>2020</v>
      </c>
      <c r="G127" s="130">
        <v>2021</v>
      </c>
      <c r="H127" s="130">
        <v>2022</v>
      </c>
      <c r="I127" s="130">
        <v>2023</v>
      </c>
    </row>
    <row r="128" spans="2:9" x14ac:dyDescent="0.35">
      <c r="B128" s="426"/>
      <c r="C128" s="129" t="s">
        <v>197</v>
      </c>
      <c r="D128" s="131">
        <v>0.15</v>
      </c>
      <c r="E128" s="131">
        <v>0.15</v>
      </c>
      <c r="F128" s="131">
        <v>0.15</v>
      </c>
      <c r="G128" s="131">
        <v>0.15</v>
      </c>
      <c r="H128" s="131">
        <v>0.15</v>
      </c>
      <c r="I128" s="131">
        <v>0.15</v>
      </c>
    </row>
    <row r="129" spans="2:9" x14ac:dyDescent="0.35">
      <c r="B129" s="426"/>
      <c r="C129" s="129" t="s">
        <v>53</v>
      </c>
      <c r="D129" s="131">
        <v>0.15</v>
      </c>
      <c r="E129" s="131">
        <v>0.15</v>
      </c>
      <c r="F129" s="131">
        <v>0.15</v>
      </c>
      <c r="G129" s="131">
        <v>0.15</v>
      </c>
      <c r="H129" s="131">
        <v>0.15</v>
      </c>
      <c r="I129" s="131">
        <v>0.15</v>
      </c>
    </row>
    <row r="130" spans="2:9" x14ac:dyDescent="0.35">
      <c r="B130" s="426"/>
      <c r="C130" s="129" t="s">
        <v>117</v>
      </c>
      <c r="D130" s="131">
        <v>0.15</v>
      </c>
      <c r="E130" s="131">
        <v>0.15</v>
      </c>
      <c r="F130" s="131">
        <v>0.15</v>
      </c>
      <c r="G130" s="131">
        <v>0.15</v>
      </c>
      <c r="H130" s="131">
        <v>0.15</v>
      </c>
      <c r="I130" s="131">
        <v>0.15</v>
      </c>
    </row>
    <row r="131" spans="2:9" x14ac:dyDescent="0.35">
      <c r="B131" s="427"/>
      <c r="C131" s="129" t="s">
        <v>119</v>
      </c>
      <c r="D131" s="131">
        <v>0.15</v>
      </c>
      <c r="E131" s="131">
        <v>0.15</v>
      </c>
      <c r="F131" s="131">
        <v>0.15</v>
      </c>
      <c r="G131" s="131">
        <v>0.15</v>
      </c>
      <c r="H131" s="131">
        <v>0.15</v>
      </c>
      <c r="I131" s="131">
        <v>0.15</v>
      </c>
    </row>
    <row r="133" spans="2:9" x14ac:dyDescent="0.35">
      <c r="B133" s="125"/>
    </row>
  </sheetData>
  <mergeCells count="16">
    <mergeCell ref="B127:B131"/>
    <mergeCell ref="K101:K108"/>
    <mergeCell ref="I1:K3"/>
    <mergeCell ref="K75:K82"/>
    <mergeCell ref="K88:K95"/>
    <mergeCell ref="K62:K70"/>
    <mergeCell ref="B75:B85"/>
    <mergeCell ref="B88:B98"/>
    <mergeCell ref="B101:B111"/>
    <mergeCell ref="B114:B118"/>
    <mergeCell ref="B121:B125"/>
    <mergeCell ref="B5:B16"/>
    <mergeCell ref="B19:B30"/>
    <mergeCell ref="B33:B44"/>
    <mergeCell ref="B47:B58"/>
    <mergeCell ref="B62:B72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E0E48-13C3-4579-8141-2C3305FDDAC2}">
  <dimension ref="B2:O207"/>
  <sheetViews>
    <sheetView showGridLines="0" zoomScale="60" zoomScaleNormal="60" workbookViewId="0">
      <selection activeCell="E75" sqref="E75"/>
    </sheetView>
  </sheetViews>
  <sheetFormatPr baseColWidth="10" defaultColWidth="14.6328125" defaultRowHeight="14" customHeight="1" x14ac:dyDescent="0.35"/>
  <cols>
    <col min="1" max="1" width="14" style="29" customWidth="1"/>
    <col min="2" max="2" width="44.6328125" style="29" customWidth="1"/>
    <col min="3" max="15" width="13.7265625" style="47" customWidth="1"/>
    <col min="16" max="16384" width="14.6328125" style="29"/>
  </cols>
  <sheetData>
    <row r="2" spans="2:15" ht="20" customHeight="1" x14ac:dyDescent="0.35">
      <c r="B2" s="28" t="s">
        <v>48</v>
      </c>
      <c r="C2" s="48"/>
    </row>
    <row r="3" spans="2:15" ht="14" customHeight="1" x14ac:dyDescent="0.35">
      <c r="B3" s="30"/>
      <c r="C3" s="31"/>
    </row>
    <row r="4" spans="2:15" ht="14" customHeight="1" x14ac:dyDescent="0.35">
      <c r="B4" s="27" t="s">
        <v>104</v>
      </c>
      <c r="C4" s="49" t="s">
        <v>1</v>
      </c>
      <c r="D4" s="50" t="s">
        <v>2</v>
      </c>
      <c r="E4" s="50" t="s">
        <v>3</v>
      </c>
      <c r="F4" s="50" t="s">
        <v>4</v>
      </c>
      <c r="G4" s="50" t="s">
        <v>5</v>
      </c>
      <c r="H4" s="50" t="s">
        <v>6</v>
      </c>
      <c r="I4" s="50" t="s">
        <v>7</v>
      </c>
      <c r="J4" s="50" t="s">
        <v>8</v>
      </c>
      <c r="K4" s="132" t="s">
        <v>9</v>
      </c>
      <c r="L4" s="50" t="s">
        <v>10</v>
      </c>
      <c r="M4" s="50" t="s">
        <v>11</v>
      </c>
      <c r="N4" s="50" t="s">
        <v>12</v>
      </c>
      <c r="O4" s="50" t="s">
        <v>13</v>
      </c>
    </row>
    <row r="5" spans="2:15" ht="14" customHeight="1" x14ac:dyDescent="0.35">
      <c r="B5" s="31" t="s">
        <v>105</v>
      </c>
      <c r="C5" s="51">
        <v>463</v>
      </c>
      <c r="D5" s="51">
        <v>479</v>
      </c>
      <c r="E5" s="51">
        <v>611</v>
      </c>
      <c r="F5" s="51">
        <v>601</v>
      </c>
      <c r="G5" s="51">
        <v>400</v>
      </c>
      <c r="H5" s="51">
        <v>471</v>
      </c>
      <c r="I5" s="51">
        <v>457</v>
      </c>
      <c r="J5" s="51">
        <v>392</v>
      </c>
      <c r="K5" s="133">
        <v>594</v>
      </c>
      <c r="L5" s="51">
        <v>722</v>
      </c>
      <c r="M5" s="51">
        <v>831</v>
      </c>
      <c r="N5" s="51">
        <v>1566</v>
      </c>
      <c r="O5" s="51">
        <f>SUM(C5:N5)</f>
        <v>7587</v>
      </c>
    </row>
    <row r="6" spans="2:15" ht="14" customHeight="1" x14ac:dyDescent="0.35">
      <c r="B6" s="31" t="s">
        <v>15</v>
      </c>
      <c r="C6" s="52">
        <v>442</v>
      </c>
      <c r="D6" s="52">
        <v>342</v>
      </c>
      <c r="E6" s="52">
        <v>302</v>
      </c>
      <c r="F6" s="52">
        <v>274</v>
      </c>
      <c r="G6" s="52">
        <v>457</v>
      </c>
      <c r="H6" s="52">
        <v>528</v>
      </c>
      <c r="I6" s="52">
        <v>475</v>
      </c>
      <c r="J6" s="52">
        <v>421</v>
      </c>
      <c r="K6" s="133">
        <v>407</v>
      </c>
      <c r="L6" s="52">
        <v>476</v>
      </c>
      <c r="M6" s="52">
        <v>508</v>
      </c>
      <c r="N6" s="52">
        <v>956</v>
      </c>
      <c r="O6" s="52">
        <f>SUM(C6:N6)</f>
        <v>5588</v>
      </c>
    </row>
    <row r="7" spans="2:15" ht="14" customHeight="1" x14ac:dyDescent="0.35">
      <c r="B7" s="31" t="s">
        <v>16</v>
      </c>
      <c r="C7" s="51">
        <f>SUM(C5:C6)</f>
        <v>905</v>
      </c>
      <c r="D7" s="51">
        <f t="shared" ref="D7:N7" si="0">SUM(D5:D6)</f>
        <v>821</v>
      </c>
      <c r="E7" s="51">
        <f t="shared" si="0"/>
        <v>913</v>
      </c>
      <c r="F7" s="51">
        <f t="shared" si="0"/>
        <v>875</v>
      </c>
      <c r="G7" s="51">
        <f t="shared" si="0"/>
        <v>857</v>
      </c>
      <c r="H7" s="51">
        <f t="shared" si="0"/>
        <v>999</v>
      </c>
      <c r="I7" s="51">
        <f t="shared" si="0"/>
        <v>932</v>
      </c>
      <c r="J7" s="51">
        <f t="shared" si="0"/>
        <v>813</v>
      </c>
      <c r="K7" s="133">
        <f t="shared" si="0"/>
        <v>1001</v>
      </c>
      <c r="L7" s="51">
        <f t="shared" si="0"/>
        <v>1198</v>
      </c>
      <c r="M7" s="51">
        <f t="shared" si="0"/>
        <v>1339</v>
      </c>
      <c r="N7" s="51">
        <f t="shared" si="0"/>
        <v>2522</v>
      </c>
      <c r="O7" s="51">
        <f>SUM(C7:N7)</f>
        <v>13175</v>
      </c>
    </row>
    <row r="8" spans="2:15" ht="14" customHeight="1" x14ac:dyDescent="0.35">
      <c r="K8" s="134"/>
    </row>
    <row r="9" spans="2:15" ht="14" customHeight="1" x14ac:dyDescent="0.35">
      <c r="B9" s="27" t="s">
        <v>17</v>
      </c>
      <c r="C9" s="49" t="s">
        <v>1</v>
      </c>
      <c r="D9" s="50" t="s">
        <v>2</v>
      </c>
      <c r="E9" s="50" t="s">
        <v>3</v>
      </c>
      <c r="F9" s="50" t="s">
        <v>4</v>
      </c>
      <c r="G9" s="50" t="s">
        <v>5</v>
      </c>
      <c r="H9" s="50" t="s">
        <v>6</v>
      </c>
      <c r="I9" s="50" t="s">
        <v>7</v>
      </c>
      <c r="J9" s="50" t="s">
        <v>8</v>
      </c>
      <c r="K9" s="132" t="s">
        <v>9</v>
      </c>
      <c r="L9" s="50" t="s">
        <v>10</v>
      </c>
      <c r="M9" s="50" t="s">
        <v>11</v>
      </c>
      <c r="N9" s="50" t="s">
        <v>12</v>
      </c>
      <c r="O9" s="50" t="s">
        <v>22</v>
      </c>
    </row>
    <row r="10" spans="2:15" s="33" customFormat="1" ht="14" customHeight="1" x14ac:dyDescent="0.35">
      <c r="B10" s="30" t="s">
        <v>103</v>
      </c>
      <c r="C10" s="53">
        <f>Assumptions!$E$6</f>
        <v>1.6</v>
      </c>
      <c r="D10" s="53">
        <f>Assumptions!$E$6</f>
        <v>1.6</v>
      </c>
      <c r="E10" s="53">
        <f>Assumptions!$E$6</f>
        <v>1.6</v>
      </c>
      <c r="F10" s="53">
        <f>Assumptions!$E$6</f>
        <v>1.6</v>
      </c>
      <c r="G10" s="53">
        <f>Assumptions!$E$6</f>
        <v>1.6</v>
      </c>
      <c r="H10" s="53">
        <f>Assumptions!$E$6</f>
        <v>1.6</v>
      </c>
      <c r="I10" s="53">
        <f>Assumptions!$E$6</f>
        <v>1.6</v>
      </c>
      <c r="J10" s="53">
        <f>Assumptions!$E$6</f>
        <v>1.6</v>
      </c>
      <c r="K10" s="135">
        <f>Assumptions!$E$6</f>
        <v>1.6</v>
      </c>
      <c r="L10" s="53">
        <f>Assumptions!$E$6</f>
        <v>1.6</v>
      </c>
      <c r="M10" s="53">
        <f>Assumptions!$E$6</f>
        <v>1.6</v>
      </c>
      <c r="N10" s="53">
        <f>Assumptions!$E$6</f>
        <v>1.6</v>
      </c>
      <c r="O10" s="32"/>
    </row>
    <row r="11" spans="2:15" s="33" customFormat="1" ht="14" customHeight="1" x14ac:dyDescent="0.35">
      <c r="B11" s="126" t="s">
        <v>110</v>
      </c>
      <c r="C11" s="53">
        <f>Assumptions!$E$7</f>
        <v>0.57999999999999996</v>
      </c>
      <c r="D11" s="53">
        <f>Assumptions!$E$7</f>
        <v>0.57999999999999996</v>
      </c>
      <c r="E11" s="53">
        <f>Assumptions!$E$7</f>
        <v>0.57999999999999996</v>
      </c>
      <c r="F11" s="53">
        <f>Assumptions!$E$7</f>
        <v>0.57999999999999996</v>
      </c>
      <c r="G11" s="53">
        <f>Assumptions!$E$7</f>
        <v>0.57999999999999996</v>
      </c>
      <c r="H11" s="53">
        <f>Assumptions!$E$7</f>
        <v>0.57999999999999996</v>
      </c>
      <c r="I11" s="53">
        <f>Assumptions!$E$7</f>
        <v>0.57999999999999996</v>
      </c>
      <c r="J11" s="53">
        <f>Assumptions!$E$7</f>
        <v>0.57999999999999996</v>
      </c>
      <c r="K11" s="135">
        <f>Assumptions!$E$7</f>
        <v>0.57999999999999996</v>
      </c>
      <c r="L11" s="53">
        <f>Assumptions!$E$7</f>
        <v>0.57999999999999996</v>
      </c>
      <c r="M11" s="53">
        <f>Assumptions!$E$7</f>
        <v>0.57999999999999996</v>
      </c>
      <c r="N11" s="53">
        <f>Assumptions!$E$7</f>
        <v>0.57999999999999996</v>
      </c>
      <c r="O11" s="32"/>
    </row>
    <row r="12" spans="2:15" s="33" customFormat="1" ht="14" customHeight="1" x14ac:dyDescent="0.35">
      <c r="B12" s="126" t="s">
        <v>109</v>
      </c>
      <c r="C12" s="53">
        <f>Assumptions!$E$8</f>
        <v>0.42</v>
      </c>
      <c r="D12" s="53">
        <f>Assumptions!$E$8</f>
        <v>0.42</v>
      </c>
      <c r="E12" s="53">
        <f>Assumptions!$E$8</f>
        <v>0.42</v>
      </c>
      <c r="F12" s="53">
        <f>Assumptions!$E$8</f>
        <v>0.42</v>
      </c>
      <c r="G12" s="53">
        <f>Assumptions!$E$8</f>
        <v>0.42</v>
      </c>
      <c r="H12" s="53">
        <f>Assumptions!$E$8</f>
        <v>0.42</v>
      </c>
      <c r="I12" s="53">
        <f>Assumptions!$E$8</f>
        <v>0.42</v>
      </c>
      <c r="J12" s="53">
        <f>Assumptions!$E$8</f>
        <v>0.42</v>
      </c>
      <c r="K12" s="135">
        <f>Assumptions!$E$8</f>
        <v>0.42</v>
      </c>
      <c r="L12" s="53">
        <f>Assumptions!$E$8</f>
        <v>0.42</v>
      </c>
      <c r="M12" s="53">
        <f>Assumptions!$E$8</f>
        <v>0.42</v>
      </c>
      <c r="N12" s="53">
        <f>Assumptions!$E$8</f>
        <v>0.42</v>
      </c>
      <c r="O12" s="32"/>
    </row>
    <row r="13" spans="2:15" ht="14" customHeight="1" x14ac:dyDescent="0.35">
      <c r="B13" s="31" t="s">
        <v>111</v>
      </c>
      <c r="C13" s="52">
        <f>C11*C15</f>
        <v>839.83999999999992</v>
      </c>
      <c r="D13" s="52">
        <f t="shared" ref="D13:N13" si="1">D11*D15</f>
        <v>761.88800000000003</v>
      </c>
      <c r="E13" s="52">
        <f t="shared" si="1"/>
        <v>847.26400000000001</v>
      </c>
      <c r="F13" s="52">
        <f t="shared" si="1"/>
        <v>812</v>
      </c>
      <c r="G13" s="52">
        <f t="shared" si="1"/>
        <v>795.29599999999994</v>
      </c>
      <c r="H13" s="52">
        <f t="shared" si="1"/>
        <v>927.072</v>
      </c>
      <c r="I13" s="52">
        <f t="shared" si="1"/>
        <v>864.89599999999996</v>
      </c>
      <c r="J13" s="52">
        <f t="shared" si="1"/>
        <v>754.46400000000006</v>
      </c>
      <c r="K13" s="133">
        <f t="shared" si="1"/>
        <v>928.928</v>
      </c>
      <c r="L13" s="52">
        <f t="shared" si="1"/>
        <v>1111.7440000000001</v>
      </c>
      <c r="M13" s="52">
        <f t="shared" si="1"/>
        <v>1242.5919999999999</v>
      </c>
      <c r="N13" s="52">
        <f t="shared" si="1"/>
        <v>2340.4160000000002</v>
      </c>
      <c r="O13" s="52">
        <f>SUM(C13:N13)</f>
        <v>12226.400000000001</v>
      </c>
    </row>
    <row r="14" spans="2:15" ht="14" customHeight="1" x14ac:dyDescent="0.35">
      <c r="B14" s="31" t="s">
        <v>112</v>
      </c>
      <c r="C14" s="51">
        <f>C12*C15</f>
        <v>608.16</v>
      </c>
      <c r="D14" s="51">
        <f t="shared" ref="D14:N14" si="2">D12*D15</f>
        <v>551.71199999999999</v>
      </c>
      <c r="E14" s="51">
        <f t="shared" si="2"/>
        <v>613.53600000000006</v>
      </c>
      <c r="F14" s="51">
        <f t="shared" si="2"/>
        <v>588</v>
      </c>
      <c r="G14" s="51">
        <f t="shared" si="2"/>
        <v>575.904</v>
      </c>
      <c r="H14" s="51">
        <f t="shared" si="2"/>
        <v>671.32799999999997</v>
      </c>
      <c r="I14" s="51">
        <f t="shared" si="2"/>
        <v>626.30399999999997</v>
      </c>
      <c r="J14" s="51">
        <f t="shared" si="2"/>
        <v>546.33600000000001</v>
      </c>
      <c r="K14" s="133">
        <f t="shared" si="2"/>
        <v>672.67200000000003</v>
      </c>
      <c r="L14" s="51">
        <f t="shared" si="2"/>
        <v>805.05600000000004</v>
      </c>
      <c r="M14" s="51">
        <f t="shared" si="2"/>
        <v>899.80799999999999</v>
      </c>
      <c r="N14" s="51">
        <f t="shared" si="2"/>
        <v>1694.7840000000001</v>
      </c>
      <c r="O14" s="51">
        <f>SUM(C14:N14)</f>
        <v>8853.6</v>
      </c>
    </row>
    <row r="15" spans="2:15" ht="14" customHeight="1" x14ac:dyDescent="0.35">
      <c r="B15" s="31" t="s">
        <v>16</v>
      </c>
      <c r="C15" s="52">
        <f>C7*C10</f>
        <v>1448</v>
      </c>
      <c r="D15" s="52">
        <f t="shared" ref="D15:N15" si="3">D7*D10</f>
        <v>1313.6000000000001</v>
      </c>
      <c r="E15" s="52">
        <f t="shared" si="3"/>
        <v>1460.8000000000002</v>
      </c>
      <c r="F15" s="52">
        <f t="shared" si="3"/>
        <v>1400</v>
      </c>
      <c r="G15" s="52">
        <f t="shared" si="3"/>
        <v>1371.2</v>
      </c>
      <c r="H15" s="52">
        <f t="shared" si="3"/>
        <v>1598.4</v>
      </c>
      <c r="I15" s="52">
        <f t="shared" si="3"/>
        <v>1491.2</v>
      </c>
      <c r="J15" s="52">
        <f t="shared" si="3"/>
        <v>1300.8000000000002</v>
      </c>
      <c r="K15" s="133">
        <f t="shared" si="3"/>
        <v>1601.6000000000001</v>
      </c>
      <c r="L15" s="52">
        <f t="shared" si="3"/>
        <v>1916.8000000000002</v>
      </c>
      <c r="M15" s="52">
        <f t="shared" si="3"/>
        <v>2142.4</v>
      </c>
      <c r="N15" s="52">
        <f t="shared" si="3"/>
        <v>4035.2000000000003</v>
      </c>
      <c r="O15" s="52">
        <f>SUM(C15:N15)</f>
        <v>21080.000000000004</v>
      </c>
    </row>
    <row r="16" spans="2:15" ht="14" customHeight="1" x14ac:dyDescent="0.35">
      <c r="B16" s="32" t="s">
        <v>113</v>
      </c>
      <c r="C16" s="51">
        <f>Assumptions!$E$10*'Forecast Sold Cars'!C15</f>
        <v>724</v>
      </c>
      <c r="D16" s="51">
        <f>Assumptions!$E$10*'Forecast Sold Cars'!D15</f>
        <v>656.80000000000007</v>
      </c>
      <c r="E16" s="51">
        <f>Assumptions!$E$10*'Forecast Sold Cars'!E15</f>
        <v>730.40000000000009</v>
      </c>
      <c r="F16" s="51">
        <f>Assumptions!$E$10*'Forecast Sold Cars'!F15</f>
        <v>700</v>
      </c>
      <c r="G16" s="51">
        <f>Assumptions!$E$10*'Forecast Sold Cars'!G15</f>
        <v>685.6</v>
      </c>
      <c r="H16" s="51">
        <f>Assumptions!$E$10*'Forecast Sold Cars'!H15</f>
        <v>799.2</v>
      </c>
      <c r="I16" s="51">
        <f>Assumptions!$E$10*'Forecast Sold Cars'!I15</f>
        <v>745.6</v>
      </c>
      <c r="J16" s="51">
        <f>Assumptions!$E$10*'Forecast Sold Cars'!J15</f>
        <v>650.40000000000009</v>
      </c>
      <c r="K16" s="133">
        <f>Assumptions!$E$10*'Forecast Sold Cars'!K15</f>
        <v>800.80000000000007</v>
      </c>
      <c r="L16" s="51">
        <f>Assumptions!$E$10*'Forecast Sold Cars'!L15</f>
        <v>958.40000000000009</v>
      </c>
      <c r="M16" s="51">
        <f>Assumptions!$E$10*'Forecast Sold Cars'!M15</f>
        <v>1071.2</v>
      </c>
      <c r="N16" s="51">
        <f>Assumptions!$E$10*'Forecast Sold Cars'!N15</f>
        <v>2017.6000000000001</v>
      </c>
      <c r="O16" s="51">
        <f>SUM(C16:N16)</f>
        <v>10540.000000000002</v>
      </c>
    </row>
    <row r="17" spans="2:15" ht="14" customHeight="1" x14ac:dyDescent="0.35">
      <c r="B17" s="32" t="s">
        <v>32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136">
        <f>K16*Assumptions!$E$12</f>
        <v>16.016000000000002</v>
      </c>
      <c r="L17" s="54">
        <f>L16*Assumptions!$E$12</f>
        <v>19.168000000000003</v>
      </c>
      <c r="M17" s="54">
        <f>M16*Assumptions!$E$12</f>
        <v>21.424000000000003</v>
      </c>
      <c r="N17" s="54">
        <f>N16*Assumptions!$E$12</f>
        <v>40.352000000000004</v>
      </c>
      <c r="O17" s="55">
        <f>SUM(C17:N17)</f>
        <v>96.960000000000008</v>
      </c>
    </row>
    <row r="18" spans="2:15" ht="14" customHeight="1" x14ac:dyDescent="0.35">
      <c r="B18" s="32"/>
      <c r="O18" s="56"/>
    </row>
    <row r="19" spans="2:15" ht="14" customHeight="1" x14ac:dyDescent="0.35">
      <c r="B19" s="32"/>
      <c r="O19" s="56"/>
    </row>
    <row r="21" spans="2:15" ht="14" customHeight="1" x14ac:dyDescent="0.35">
      <c r="B21" s="27" t="s">
        <v>114</v>
      </c>
      <c r="C21" s="49">
        <v>2019</v>
      </c>
      <c r="D21" s="50">
        <v>2020</v>
      </c>
      <c r="E21" s="50">
        <v>2021</v>
      </c>
      <c r="F21" s="50">
        <v>2022</v>
      </c>
      <c r="G21" s="50">
        <v>2023</v>
      </c>
      <c r="H21" s="50" t="s">
        <v>19</v>
      </c>
    </row>
    <row r="22" spans="2:15" ht="14" customHeight="1" x14ac:dyDescent="0.35">
      <c r="B22" s="31" t="s">
        <v>105</v>
      </c>
      <c r="C22" s="52">
        <f>O13</f>
        <v>12226.400000000001</v>
      </c>
      <c r="D22" s="52">
        <f>D24*Assumptions!F7</f>
        <v>19562.240000000002</v>
      </c>
      <c r="E22" s="52">
        <f>E24*Assumptions!G7</f>
        <v>33255.808000000005</v>
      </c>
      <c r="F22" s="52">
        <f>F24*Assumptions!H7</f>
        <v>66511.616000000009</v>
      </c>
      <c r="G22" s="52">
        <f>G24*Assumptions!I7</f>
        <v>133023.23200000002</v>
      </c>
      <c r="H22" s="52">
        <f>SUM(C22:G22)</f>
        <v>264579.29600000003</v>
      </c>
    </row>
    <row r="23" spans="2:15" ht="14" customHeight="1" x14ac:dyDescent="0.35">
      <c r="B23" s="31" t="s">
        <v>15</v>
      </c>
      <c r="C23" s="51">
        <f>O14</f>
        <v>8853.6</v>
      </c>
      <c r="D23" s="51">
        <f>D24*Assumptions!F8</f>
        <v>14165.760000000002</v>
      </c>
      <c r="E23" s="51">
        <f>E24*Assumptions!G8</f>
        <v>24081.792000000005</v>
      </c>
      <c r="F23" s="51">
        <f>F24*Assumptions!H8</f>
        <v>48163.58400000001</v>
      </c>
      <c r="G23" s="51">
        <f>G24*Assumptions!I8</f>
        <v>96327.16800000002</v>
      </c>
      <c r="H23" s="51">
        <f>SUM(C23:G23)</f>
        <v>191591.90400000004</v>
      </c>
    </row>
    <row r="24" spans="2:15" ht="14" customHeight="1" x14ac:dyDescent="0.35">
      <c r="B24" s="31" t="s">
        <v>16</v>
      </c>
      <c r="C24" s="52">
        <f>O15</f>
        <v>21080.000000000004</v>
      </c>
      <c r="D24" s="52">
        <f>C24*Assumptions!F6</f>
        <v>33728.000000000007</v>
      </c>
      <c r="E24" s="52">
        <f>D24*Assumptions!G6</f>
        <v>57337.600000000013</v>
      </c>
      <c r="F24" s="52">
        <f>E24*Assumptions!H6</f>
        <v>114675.20000000003</v>
      </c>
      <c r="G24" s="52">
        <f>F24*Assumptions!I6</f>
        <v>229350.40000000005</v>
      </c>
      <c r="H24" s="52">
        <f>SUM(C24:G24)</f>
        <v>456171.20000000007</v>
      </c>
    </row>
    <row r="25" spans="2:15" ht="14" customHeight="1" x14ac:dyDescent="0.35">
      <c r="B25" s="32" t="s">
        <v>113</v>
      </c>
      <c r="C25" s="51">
        <f>O16</f>
        <v>10540.000000000002</v>
      </c>
      <c r="D25" s="51">
        <f>D24*Assumptions!F10</f>
        <v>16864.000000000004</v>
      </c>
      <c r="E25" s="51">
        <f>E24*Assumptions!G10</f>
        <v>28668.800000000007</v>
      </c>
      <c r="F25" s="51">
        <f>F24*Assumptions!H10</f>
        <v>57337.600000000013</v>
      </c>
      <c r="G25" s="51">
        <f>G24*Assumptions!I10</f>
        <v>114675.20000000003</v>
      </c>
      <c r="H25" s="51">
        <f>SUM(C25:G25)</f>
        <v>228085.60000000003</v>
      </c>
    </row>
    <row r="26" spans="2:15" ht="14" customHeight="1" x14ac:dyDescent="0.35">
      <c r="B26" s="32" t="s">
        <v>49</v>
      </c>
      <c r="C26" s="127">
        <f>O17</f>
        <v>96.960000000000008</v>
      </c>
      <c r="D26" s="127">
        <f>D25*Assumptions!F12</f>
        <v>505.92000000000007</v>
      </c>
      <c r="E26" s="127">
        <f>E25*Assumptions!G12</f>
        <v>1433.4400000000005</v>
      </c>
      <c r="F26" s="127">
        <f>F25*Assumptions!H12</f>
        <v>4587.0080000000007</v>
      </c>
      <c r="G26" s="127">
        <f>G25*Assumptions!I12</f>
        <v>17201.280000000002</v>
      </c>
      <c r="H26" s="128">
        <f>SUM(C26:G26)</f>
        <v>23824.608000000004</v>
      </c>
    </row>
    <row r="39" spans="2:15" ht="14" customHeight="1" x14ac:dyDescent="0.35">
      <c r="B39" s="34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2" spans="2:15" ht="20" customHeight="1" x14ac:dyDescent="0.35">
      <c r="B42" s="35" t="s">
        <v>21</v>
      </c>
      <c r="C42" s="58"/>
    </row>
    <row r="43" spans="2:15" ht="14" customHeight="1" x14ac:dyDescent="0.35">
      <c r="B43" s="30"/>
      <c r="C43" s="31"/>
    </row>
    <row r="44" spans="2:15" ht="14" customHeight="1" x14ac:dyDescent="0.35">
      <c r="B44" s="27" t="s">
        <v>104</v>
      </c>
      <c r="C44" s="59" t="s">
        <v>1</v>
      </c>
      <c r="D44" s="59" t="s">
        <v>2</v>
      </c>
      <c r="E44" s="59" t="s">
        <v>3</v>
      </c>
      <c r="F44" s="59" t="s">
        <v>4</v>
      </c>
      <c r="G44" s="59" t="s">
        <v>5</v>
      </c>
      <c r="H44" s="59" t="s">
        <v>6</v>
      </c>
      <c r="I44" s="59" t="s">
        <v>7</v>
      </c>
      <c r="J44" s="59" t="s">
        <v>8</v>
      </c>
      <c r="K44" s="59" t="s">
        <v>9</v>
      </c>
      <c r="L44" s="59" t="s">
        <v>10</v>
      </c>
      <c r="M44" s="59" t="s">
        <v>11</v>
      </c>
      <c r="N44" s="59" t="s">
        <v>12</v>
      </c>
      <c r="O44" s="59" t="s">
        <v>13</v>
      </c>
    </row>
    <row r="45" spans="2:15" ht="14" customHeight="1" x14ac:dyDescent="0.35">
      <c r="B45" s="31" t="s">
        <v>116</v>
      </c>
      <c r="C45" s="51">
        <f>0.3*C47</f>
        <v>996.9</v>
      </c>
      <c r="D45" s="51">
        <f t="shared" ref="D45:N45" si="4">0.3*D47</f>
        <v>463.5</v>
      </c>
      <c r="E45" s="51">
        <f t="shared" si="4"/>
        <v>2787.9</v>
      </c>
      <c r="F45" s="51">
        <f t="shared" si="4"/>
        <v>1157.3999999999999</v>
      </c>
      <c r="G45" s="51">
        <f t="shared" si="4"/>
        <v>1521.6</v>
      </c>
      <c r="H45" s="51">
        <f t="shared" si="4"/>
        <v>1881.6</v>
      </c>
      <c r="I45" s="51">
        <f t="shared" si="4"/>
        <v>1365</v>
      </c>
      <c r="J45" s="51">
        <f t="shared" si="4"/>
        <v>1194.3</v>
      </c>
      <c r="K45" s="51">
        <f t="shared" si="4"/>
        <v>2088.2999999999997</v>
      </c>
      <c r="L45" s="51">
        <f t="shared" si="4"/>
        <v>1411.2</v>
      </c>
      <c r="M45" s="51">
        <f t="shared" si="4"/>
        <v>1456.5</v>
      </c>
      <c r="N45" s="51">
        <f t="shared" si="4"/>
        <v>1649.3999999999999</v>
      </c>
      <c r="O45" s="51">
        <f>SUM(C45:N45)</f>
        <v>17973.599999999999</v>
      </c>
    </row>
    <row r="46" spans="2:15" ht="14" customHeight="1" x14ac:dyDescent="0.35">
      <c r="B46" s="31" t="s">
        <v>15</v>
      </c>
      <c r="C46" s="60">
        <f>C47-C45</f>
        <v>2326.1</v>
      </c>
      <c r="D46" s="60">
        <f t="shared" ref="D46:N46" si="5">D47-D45</f>
        <v>1081.5</v>
      </c>
      <c r="E46" s="60">
        <f t="shared" si="5"/>
        <v>6505.1</v>
      </c>
      <c r="F46" s="60">
        <f t="shared" si="5"/>
        <v>2700.6000000000004</v>
      </c>
      <c r="G46" s="60">
        <f t="shared" si="5"/>
        <v>3550.4</v>
      </c>
      <c r="H46" s="60">
        <f t="shared" si="5"/>
        <v>4390.3999999999996</v>
      </c>
      <c r="I46" s="60">
        <f t="shared" si="5"/>
        <v>3185</v>
      </c>
      <c r="J46" s="60">
        <f t="shared" si="5"/>
        <v>2786.7</v>
      </c>
      <c r="K46" s="60">
        <f t="shared" si="5"/>
        <v>4872.7000000000007</v>
      </c>
      <c r="L46" s="60">
        <f t="shared" si="5"/>
        <v>3292.8</v>
      </c>
      <c r="M46" s="60">
        <f t="shared" si="5"/>
        <v>3398.5</v>
      </c>
      <c r="N46" s="60">
        <f t="shared" si="5"/>
        <v>3848.6000000000004</v>
      </c>
      <c r="O46" s="60">
        <f>SUM(C46:N46)</f>
        <v>41938.400000000001</v>
      </c>
    </row>
    <row r="47" spans="2:15" ht="14" customHeight="1" x14ac:dyDescent="0.35">
      <c r="B47" s="31" t="s">
        <v>16</v>
      </c>
      <c r="C47" s="51">
        <v>3323</v>
      </c>
      <c r="D47" s="51">
        <v>1545</v>
      </c>
      <c r="E47" s="51">
        <v>9293</v>
      </c>
      <c r="F47" s="51">
        <v>3858</v>
      </c>
      <c r="G47" s="51">
        <v>5072</v>
      </c>
      <c r="H47" s="51">
        <v>6272</v>
      </c>
      <c r="I47" s="51">
        <v>4550</v>
      </c>
      <c r="J47" s="51">
        <v>3981</v>
      </c>
      <c r="K47" s="51">
        <v>6961</v>
      </c>
      <c r="L47" s="51">
        <v>4704</v>
      </c>
      <c r="M47" s="51">
        <v>4855</v>
      </c>
      <c r="N47" s="51">
        <v>5498</v>
      </c>
      <c r="O47" s="51">
        <f>SUM(C47:N47)</f>
        <v>59912</v>
      </c>
    </row>
    <row r="49" spans="2:15" ht="14" customHeight="1" x14ac:dyDescent="0.35">
      <c r="B49" s="27" t="s">
        <v>17</v>
      </c>
      <c r="C49" s="59" t="s">
        <v>1</v>
      </c>
      <c r="D49" s="59" t="s">
        <v>2</v>
      </c>
      <c r="E49" s="59" t="s">
        <v>3</v>
      </c>
      <c r="F49" s="59" t="s">
        <v>4</v>
      </c>
      <c r="G49" s="59" t="s">
        <v>5</v>
      </c>
      <c r="H49" s="59" t="s">
        <v>6</v>
      </c>
      <c r="I49" s="59" t="s">
        <v>7</v>
      </c>
      <c r="J49" s="59" t="s">
        <v>8</v>
      </c>
      <c r="K49" s="59" t="s">
        <v>9</v>
      </c>
      <c r="L49" s="59" t="s">
        <v>10</v>
      </c>
      <c r="M49" s="59" t="s">
        <v>11</v>
      </c>
      <c r="N49" s="59" t="s">
        <v>12</v>
      </c>
      <c r="O49" s="59" t="s">
        <v>22</v>
      </c>
    </row>
    <row r="50" spans="2:15" ht="14" customHeight="1" x14ac:dyDescent="0.35">
      <c r="B50" s="30" t="s">
        <v>103</v>
      </c>
      <c r="C50" s="53">
        <f>Assumptions!$E$20</f>
        <v>1.29</v>
      </c>
      <c r="D50" s="53">
        <f>Assumptions!$E$20</f>
        <v>1.29</v>
      </c>
      <c r="E50" s="53">
        <f>Assumptions!$E$20</f>
        <v>1.29</v>
      </c>
      <c r="F50" s="53">
        <f>Assumptions!$E$20</f>
        <v>1.29</v>
      </c>
      <c r="G50" s="53">
        <f>Assumptions!$E$20</f>
        <v>1.29</v>
      </c>
      <c r="H50" s="53">
        <f>Assumptions!$E$20</f>
        <v>1.29</v>
      </c>
      <c r="I50" s="53">
        <f>Assumptions!$E$20</f>
        <v>1.29</v>
      </c>
      <c r="J50" s="53">
        <f>Assumptions!$E$20</f>
        <v>1.29</v>
      </c>
      <c r="K50" s="53">
        <f>Assumptions!$E$20</f>
        <v>1.29</v>
      </c>
      <c r="L50" s="53">
        <f>Assumptions!$E$20</f>
        <v>1.29</v>
      </c>
      <c r="M50" s="53">
        <f>Assumptions!$E$20</f>
        <v>1.29</v>
      </c>
      <c r="N50" s="53">
        <f>Assumptions!$E$20</f>
        <v>1.29</v>
      </c>
      <c r="O50" s="32"/>
    </row>
    <row r="51" spans="2:15" ht="14" customHeight="1" x14ac:dyDescent="0.35">
      <c r="B51" s="126" t="s">
        <v>110</v>
      </c>
      <c r="C51" s="53">
        <f>Assumptions!$E$21</f>
        <v>0.3</v>
      </c>
      <c r="D51" s="53">
        <f>Assumptions!$E$21</f>
        <v>0.3</v>
      </c>
      <c r="E51" s="53">
        <f>Assumptions!$E$21</f>
        <v>0.3</v>
      </c>
      <c r="F51" s="53">
        <f>Assumptions!$E$21</f>
        <v>0.3</v>
      </c>
      <c r="G51" s="53">
        <f>Assumptions!$E$21</f>
        <v>0.3</v>
      </c>
      <c r="H51" s="53">
        <f>Assumptions!$E$21</f>
        <v>0.3</v>
      </c>
      <c r="I51" s="53">
        <f>Assumptions!$E$21</f>
        <v>0.3</v>
      </c>
      <c r="J51" s="53">
        <f>Assumptions!$E$21</f>
        <v>0.3</v>
      </c>
      <c r="K51" s="53">
        <f>Assumptions!$E$21</f>
        <v>0.3</v>
      </c>
      <c r="L51" s="53">
        <f>Assumptions!$E$21</f>
        <v>0.3</v>
      </c>
      <c r="M51" s="53">
        <f>Assumptions!$E$21</f>
        <v>0.3</v>
      </c>
      <c r="N51" s="53">
        <f>Assumptions!$E$21</f>
        <v>0.3</v>
      </c>
      <c r="O51" s="32"/>
    </row>
    <row r="52" spans="2:15" ht="14" customHeight="1" x14ac:dyDescent="0.35">
      <c r="B52" s="126" t="s">
        <v>109</v>
      </c>
      <c r="C52" s="53">
        <f>Assumptions!$E$22</f>
        <v>0.7</v>
      </c>
      <c r="D52" s="53">
        <f>Assumptions!$E$22</f>
        <v>0.7</v>
      </c>
      <c r="E52" s="53">
        <f>Assumptions!$E$22</f>
        <v>0.7</v>
      </c>
      <c r="F52" s="53">
        <f>Assumptions!$E$22</f>
        <v>0.7</v>
      </c>
      <c r="G52" s="53">
        <f>Assumptions!$E$22</f>
        <v>0.7</v>
      </c>
      <c r="H52" s="53">
        <f>Assumptions!$E$22</f>
        <v>0.7</v>
      </c>
      <c r="I52" s="53">
        <f>Assumptions!$E$22</f>
        <v>0.7</v>
      </c>
      <c r="J52" s="53">
        <f>Assumptions!$E$22</f>
        <v>0.7</v>
      </c>
      <c r="K52" s="53">
        <f>Assumptions!$E$22</f>
        <v>0.7</v>
      </c>
      <c r="L52" s="53">
        <f>Assumptions!$E$22</f>
        <v>0.7</v>
      </c>
      <c r="M52" s="53">
        <f>Assumptions!$E$22</f>
        <v>0.7</v>
      </c>
      <c r="N52" s="53">
        <f>Assumptions!$E$22</f>
        <v>0.7</v>
      </c>
      <c r="O52" s="32"/>
    </row>
    <row r="53" spans="2:15" ht="14" customHeight="1" x14ac:dyDescent="0.35">
      <c r="B53" s="31" t="s">
        <v>105</v>
      </c>
      <c r="C53" s="60">
        <f t="shared" ref="C53:N53" si="6">C51*C55</f>
        <v>1286.001</v>
      </c>
      <c r="D53" s="60">
        <f t="shared" si="6"/>
        <v>597.91499999999996</v>
      </c>
      <c r="E53" s="60">
        <f t="shared" si="6"/>
        <v>3596.3910000000001</v>
      </c>
      <c r="F53" s="60">
        <f t="shared" si="6"/>
        <v>1493.0459999999998</v>
      </c>
      <c r="G53" s="60">
        <f t="shared" si="6"/>
        <v>1962.864</v>
      </c>
      <c r="H53" s="60">
        <f t="shared" si="6"/>
        <v>2427.2640000000001</v>
      </c>
      <c r="I53" s="60">
        <f t="shared" si="6"/>
        <v>1760.85</v>
      </c>
      <c r="J53" s="60">
        <f t="shared" si="6"/>
        <v>1540.6469999999999</v>
      </c>
      <c r="K53" s="60">
        <f t="shared" si="6"/>
        <v>2693.9070000000002</v>
      </c>
      <c r="L53" s="60">
        <f t="shared" si="6"/>
        <v>1820.4479999999999</v>
      </c>
      <c r="M53" s="60">
        <f t="shared" si="6"/>
        <v>1878.8849999999998</v>
      </c>
      <c r="N53" s="60">
        <f t="shared" si="6"/>
        <v>2127.7260000000001</v>
      </c>
      <c r="O53" s="60">
        <f>SUM(C53:N53)</f>
        <v>23185.943999999996</v>
      </c>
    </row>
    <row r="54" spans="2:15" ht="14" customHeight="1" x14ac:dyDescent="0.35">
      <c r="B54" s="31" t="s">
        <v>15</v>
      </c>
      <c r="C54" s="51">
        <f t="shared" ref="C54:N54" si="7">C52*C55</f>
        <v>3000.6689999999999</v>
      </c>
      <c r="D54" s="51">
        <f t="shared" si="7"/>
        <v>1395.135</v>
      </c>
      <c r="E54" s="51">
        <f t="shared" si="7"/>
        <v>8391.5789999999997</v>
      </c>
      <c r="F54" s="51">
        <f t="shared" si="7"/>
        <v>3483.7739999999994</v>
      </c>
      <c r="G54" s="51">
        <f t="shared" si="7"/>
        <v>4580.0159999999996</v>
      </c>
      <c r="H54" s="51">
        <f t="shared" si="7"/>
        <v>5663.616</v>
      </c>
      <c r="I54" s="51">
        <f t="shared" si="7"/>
        <v>4108.6499999999996</v>
      </c>
      <c r="J54" s="51">
        <f t="shared" si="7"/>
        <v>3594.8429999999994</v>
      </c>
      <c r="K54" s="51">
        <f t="shared" si="7"/>
        <v>6285.7830000000004</v>
      </c>
      <c r="L54" s="51">
        <f t="shared" si="7"/>
        <v>4247.7119999999995</v>
      </c>
      <c r="M54" s="51">
        <f t="shared" si="7"/>
        <v>4384.0649999999996</v>
      </c>
      <c r="N54" s="51">
        <f t="shared" si="7"/>
        <v>4964.6939999999995</v>
      </c>
      <c r="O54" s="51">
        <f>SUM(C54:N54)</f>
        <v>54100.536000000007</v>
      </c>
    </row>
    <row r="55" spans="2:15" ht="14" customHeight="1" x14ac:dyDescent="0.35">
      <c r="B55" s="31" t="s">
        <v>16</v>
      </c>
      <c r="C55" s="60">
        <f>C50*C47</f>
        <v>4286.67</v>
      </c>
      <c r="D55" s="60">
        <f t="shared" ref="D55:N55" si="8">D50*D47</f>
        <v>1993.05</v>
      </c>
      <c r="E55" s="60">
        <f t="shared" si="8"/>
        <v>11987.970000000001</v>
      </c>
      <c r="F55" s="60">
        <f t="shared" si="8"/>
        <v>4976.82</v>
      </c>
      <c r="G55" s="60">
        <f t="shared" si="8"/>
        <v>6542.88</v>
      </c>
      <c r="H55" s="60">
        <f t="shared" si="8"/>
        <v>8090.88</v>
      </c>
      <c r="I55" s="60">
        <f t="shared" si="8"/>
        <v>5869.5</v>
      </c>
      <c r="J55" s="60">
        <f t="shared" si="8"/>
        <v>5135.49</v>
      </c>
      <c r="K55" s="60">
        <f t="shared" si="8"/>
        <v>8979.69</v>
      </c>
      <c r="L55" s="60">
        <f t="shared" si="8"/>
        <v>6068.16</v>
      </c>
      <c r="M55" s="60">
        <f t="shared" si="8"/>
        <v>6262.95</v>
      </c>
      <c r="N55" s="60">
        <f t="shared" si="8"/>
        <v>7092.42</v>
      </c>
      <c r="O55" s="60">
        <f>SUM(C55:N55)</f>
        <v>77286.48</v>
      </c>
    </row>
    <row r="56" spans="2:15" ht="14" customHeight="1" x14ac:dyDescent="0.35">
      <c r="B56" s="32" t="s">
        <v>113</v>
      </c>
      <c r="C56" s="51">
        <f>C55*Assumptions!$E$24</f>
        <v>2143.335</v>
      </c>
      <c r="D56" s="51">
        <f>D55*Assumptions!$E$24</f>
        <v>996.52499999999998</v>
      </c>
      <c r="E56" s="51">
        <f>E55*Assumptions!$E$24</f>
        <v>5993.9850000000006</v>
      </c>
      <c r="F56" s="51">
        <f>F55*Assumptions!$E$24</f>
        <v>2488.41</v>
      </c>
      <c r="G56" s="51">
        <f>G55*Assumptions!$E$24</f>
        <v>3271.44</v>
      </c>
      <c r="H56" s="51">
        <f>H55*Assumptions!$E$24</f>
        <v>4045.44</v>
      </c>
      <c r="I56" s="51">
        <f>I55*Assumptions!$E$24</f>
        <v>2934.75</v>
      </c>
      <c r="J56" s="51">
        <f>J55*Assumptions!$E$24</f>
        <v>2567.7449999999999</v>
      </c>
      <c r="K56" s="51">
        <f>K55*Assumptions!$E$24</f>
        <v>4489.8450000000003</v>
      </c>
      <c r="L56" s="51">
        <f>L55*Assumptions!$E$24</f>
        <v>3034.08</v>
      </c>
      <c r="M56" s="51">
        <f>M55*Assumptions!$E$24</f>
        <v>3131.4749999999999</v>
      </c>
      <c r="N56" s="51">
        <f>N55*Assumptions!$E$24</f>
        <v>3546.21</v>
      </c>
      <c r="O56" s="51">
        <f>SUM(C56:N56)</f>
        <v>38643.24</v>
      </c>
    </row>
    <row r="57" spans="2:15" ht="14" customHeight="1" x14ac:dyDescent="0.35">
      <c r="B57" s="32" t="s">
        <v>32</v>
      </c>
      <c r="C57" s="47">
        <f>C56*Assumptions!$E$26</f>
        <v>0</v>
      </c>
      <c r="D57" s="47">
        <f>D56*Assumptions!$E$26</f>
        <v>0</v>
      </c>
      <c r="E57" s="47">
        <f>E56*Assumptions!$E$26</f>
        <v>0</v>
      </c>
      <c r="F57" s="47">
        <f>F56*Assumptions!$E$26</f>
        <v>0</v>
      </c>
      <c r="G57" s="47">
        <f>G56*Assumptions!$E$26</f>
        <v>0</v>
      </c>
      <c r="H57" s="47">
        <f>H56*Assumptions!$E$26</f>
        <v>0</v>
      </c>
      <c r="I57" s="47">
        <f>I56*Assumptions!$E$26</f>
        <v>0</v>
      </c>
      <c r="J57" s="47">
        <f>J56*Assumptions!$E$26</f>
        <v>0</v>
      </c>
      <c r="K57" s="47">
        <f>K56*Assumptions!$E$26</f>
        <v>0</v>
      </c>
      <c r="L57" s="47">
        <f>L56*Assumptions!$E$26</f>
        <v>0</v>
      </c>
      <c r="M57" s="47">
        <f>M56*Assumptions!$E$26</f>
        <v>0</v>
      </c>
      <c r="N57" s="47">
        <f>N56*Assumptions!$E$26</f>
        <v>0</v>
      </c>
      <c r="O57" s="61">
        <f>SUM(C57:N57)</f>
        <v>0</v>
      </c>
    </row>
    <row r="58" spans="2:15" ht="14" customHeight="1" x14ac:dyDescent="0.35">
      <c r="B58" s="32"/>
      <c r="O58" s="56"/>
    </row>
    <row r="59" spans="2:15" ht="14" customHeight="1" x14ac:dyDescent="0.35">
      <c r="B59" s="27" t="s">
        <v>35</v>
      </c>
      <c r="C59" s="59" t="s">
        <v>1</v>
      </c>
      <c r="D59" s="59" t="s">
        <v>2</v>
      </c>
      <c r="E59" s="59" t="s">
        <v>3</v>
      </c>
      <c r="F59" s="139" t="s">
        <v>4</v>
      </c>
      <c r="G59" s="59" t="s">
        <v>5</v>
      </c>
      <c r="H59" s="59" t="s">
        <v>6</v>
      </c>
      <c r="I59" s="59" t="s">
        <v>7</v>
      </c>
      <c r="J59" s="59" t="s">
        <v>8</v>
      </c>
      <c r="K59" s="59" t="s">
        <v>9</v>
      </c>
      <c r="L59" s="59" t="s">
        <v>10</v>
      </c>
      <c r="M59" s="59" t="s">
        <v>11</v>
      </c>
      <c r="N59" s="59" t="s">
        <v>12</v>
      </c>
      <c r="O59" s="59" t="s">
        <v>115</v>
      </c>
    </row>
    <row r="60" spans="2:15" ht="14" customHeight="1" x14ac:dyDescent="0.35">
      <c r="B60" s="30" t="s">
        <v>103</v>
      </c>
      <c r="C60" s="53">
        <f>Assumptions!$F$20</f>
        <v>1.29</v>
      </c>
      <c r="D60" s="53">
        <f>Assumptions!$F$20</f>
        <v>1.29</v>
      </c>
      <c r="E60" s="53">
        <f>Assumptions!$F$20</f>
        <v>1.29</v>
      </c>
      <c r="F60" s="135">
        <f>Assumptions!$F$20</f>
        <v>1.29</v>
      </c>
      <c r="G60" s="53">
        <f>Assumptions!$F$20</f>
        <v>1.29</v>
      </c>
      <c r="H60" s="53">
        <f>Assumptions!$F$20</f>
        <v>1.29</v>
      </c>
      <c r="I60" s="53">
        <f>Assumptions!$F$20</f>
        <v>1.29</v>
      </c>
      <c r="J60" s="53">
        <f>Assumptions!$F$20</f>
        <v>1.29</v>
      </c>
      <c r="K60" s="53">
        <f>Assumptions!$F$20</f>
        <v>1.29</v>
      </c>
      <c r="L60" s="53">
        <f>Assumptions!$F$20</f>
        <v>1.29</v>
      </c>
      <c r="M60" s="53">
        <f>Assumptions!$F$20</f>
        <v>1.29</v>
      </c>
      <c r="N60" s="53">
        <f>Assumptions!$F$20</f>
        <v>1.29</v>
      </c>
      <c r="O60" s="32"/>
    </row>
    <row r="61" spans="2:15" ht="14" customHeight="1" x14ac:dyDescent="0.35">
      <c r="B61" s="126" t="s">
        <v>110</v>
      </c>
      <c r="C61" s="53">
        <f>Assumptions!$F$21</f>
        <v>0.4</v>
      </c>
      <c r="D61" s="53">
        <f>Assumptions!$F$21</f>
        <v>0.4</v>
      </c>
      <c r="E61" s="53">
        <f>Assumptions!$F$21</f>
        <v>0.4</v>
      </c>
      <c r="F61" s="135">
        <f>Assumptions!$F$21</f>
        <v>0.4</v>
      </c>
      <c r="G61" s="53">
        <f>Assumptions!$F$21</f>
        <v>0.4</v>
      </c>
      <c r="H61" s="53">
        <f>Assumptions!$F$21</f>
        <v>0.4</v>
      </c>
      <c r="I61" s="53">
        <f>Assumptions!$F$21</f>
        <v>0.4</v>
      </c>
      <c r="J61" s="53">
        <f>Assumptions!$F$21</f>
        <v>0.4</v>
      </c>
      <c r="K61" s="53">
        <f>Assumptions!$F$21</f>
        <v>0.4</v>
      </c>
      <c r="L61" s="53">
        <f>Assumptions!$F$21</f>
        <v>0.4</v>
      </c>
      <c r="M61" s="53">
        <f>Assumptions!$F$21</f>
        <v>0.4</v>
      </c>
      <c r="N61" s="53">
        <f>Assumptions!$F$21</f>
        <v>0.4</v>
      </c>
      <c r="O61" s="32"/>
    </row>
    <row r="62" spans="2:15" ht="14" customHeight="1" x14ac:dyDescent="0.35">
      <c r="B62" s="126" t="s">
        <v>109</v>
      </c>
      <c r="C62" s="53">
        <f>Assumptions!$F$22</f>
        <v>0.6</v>
      </c>
      <c r="D62" s="53">
        <f>Assumptions!$F$22</f>
        <v>0.6</v>
      </c>
      <c r="E62" s="53">
        <f>Assumptions!$F$22</f>
        <v>0.6</v>
      </c>
      <c r="F62" s="135">
        <f>Assumptions!$F$22</f>
        <v>0.6</v>
      </c>
      <c r="G62" s="53">
        <f>Assumptions!$F$22</f>
        <v>0.6</v>
      </c>
      <c r="H62" s="53">
        <f>Assumptions!$F$22</f>
        <v>0.6</v>
      </c>
      <c r="I62" s="53">
        <f>Assumptions!$F$22</f>
        <v>0.6</v>
      </c>
      <c r="J62" s="53">
        <f>Assumptions!$F$22</f>
        <v>0.6</v>
      </c>
      <c r="K62" s="53">
        <f>Assumptions!$F$22</f>
        <v>0.6</v>
      </c>
      <c r="L62" s="53">
        <f>Assumptions!$F$22</f>
        <v>0.6</v>
      </c>
      <c r="M62" s="53">
        <f>Assumptions!$F$22</f>
        <v>0.6</v>
      </c>
      <c r="N62" s="53">
        <f>Assumptions!$F$22</f>
        <v>0.6</v>
      </c>
      <c r="O62" s="32"/>
    </row>
    <row r="63" spans="2:15" ht="14" customHeight="1" x14ac:dyDescent="0.35">
      <c r="B63" s="31" t="s">
        <v>105</v>
      </c>
      <c r="C63" s="60">
        <f>C61*C65</f>
        <v>2211.9217200000003</v>
      </c>
      <c r="D63" s="60">
        <f t="shared" ref="D63:N63" si="9">D61*D65</f>
        <v>1028.4138</v>
      </c>
      <c r="E63" s="60">
        <f t="shared" si="9"/>
        <v>6185.7925200000009</v>
      </c>
      <c r="F63" s="133">
        <f t="shared" si="9"/>
        <v>2568.0391199999999</v>
      </c>
      <c r="G63" s="60">
        <f t="shared" si="9"/>
        <v>3376.1260800000005</v>
      </c>
      <c r="H63" s="60">
        <f t="shared" si="9"/>
        <v>4174.8940800000009</v>
      </c>
      <c r="I63" s="60">
        <f t="shared" si="9"/>
        <v>3028.6620000000003</v>
      </c>
      <c r="J63" s="60">
        <f t="shared" si="9"/>
        <v>2649.9128400000004</v>
      </c>
      <c r="K63" s="60">
        <f t="shared" si="9"/>
        <v>4633.5200400000003</v>
      </c>
      <c r="L63" s="60">
        <f t="shared" si="9"/>
        <v>3131.1705600000005</v>
      </c>
      <c r="M63" s="60">
        <f t="shared" si="9"/>
        <v>3231.6822000000002</v>
      </c>
      <c r="N63" s="60">
        <f t="shared" si="9"/>
        <v>3659.6887200000006</v>
      </c>
      <c r="O63" s="60">
        <f>SUM(C63:N63)</f>
        <v>39879.823680000001</v>
      </c>
    </row>
    <row r="64" spans="2:15" ht="14" customHeight="1" x14ac:dyDescent="0.35">
      <c r="B64" s="31" t="s">
        <v>15</v>
      </c>
      <c r="C64" s="51">
        <f>C62*C65</f>
        <v>3317.8825800000004</v>
      </c>
      <c r="D64" s="51">
        <f t="shared" ref="D64:N64" si="10">D62*D65</f>
        <v>1542.6207000000002</v>
      </c>
      <c r="E64" s="51">
        <f t="shared" si="10"/>
        <v>9278.6887800000004</v>
      </c>
      <c r="F64" s="133">
        <f t="shared" si="10"/>
        <v>3852.0586799999996</v>
      </c>
      <c r="G64" s="51">
        <f t="shared" si="10"/>
        <v>5064.18912</v>
      </c>
      <c r="H64" s="51">
        <f t="shared" si="10"/>
        <v>6262.34112</v>
      </c>
      <c r="I64" s="51">
        <f t="shared" si="10"/>
        <v>4542.9930000000004</v>
      </c>
      <c r="J64" s="51">
        <f t="shared" si="10"/>
        <v>3974.8692599999999</v>
      </c>
      <c r="K64" s="51">
        <f t="shared" si="10"/>
        <v>6950.28006</v>
      </c>
      <c r="L64" s="51">
        <f t="shared" si="10"/>
        <v>4696.7558399999998</v>
      </c>
      <c r="M64" s="51">
        <f t="shared" si="10"/>
        <v>4847.5232999999998</v>
      </c>
      <c r="N64" s="51">
        <f t="shared" si="10"/>
        <v>5489.5330800000002</v>
      </c>
      <c r="O64" s="51">
        <f>SUM(C64:N64)</f>
        <v>59819.735519999995</v>
      </c>
    </row>
    <row r="65" spans="2:15" ht="14" customHeight="1" x14ac:dyDescent="0.35">
      <c r="B65" s="31" t="s">
        <v>16</v>
      </c>
      <c r="C65" s="60">
        <f>C60*C55</f>
        <v>5529.8043000000007</v>
      </c>
      <c r="D65" s="60">
        <f t="shared" ref="D65:N65" si="11">D60*D55</f>
        <v>2571.0345000000002</v>
      </c>
      <c r="E65" s="60">
        <f t="shared" si="11"/>
        <v>15464.481300000001</v>
      </c>
      <c r="F65" s="133">
        <f t="shared" si="11"/>
        <v>6420.0977999999996</v>
      </c>
      <c r="G65" s="60">
        <f t="shared" si="11"/>
        <v>8440.3152000000009</v>
      </c>
      <c r="H65" s="60">
        <f t="shared" si="11"/>
        <v>10437.235200000001</v>
      </c>
      <c r="I65" s="60">
        <f t="shared" si="11"/>
        <v>7571.6550000000007</v>
      </c>
      <c r="J65" s="60">
        <f t="shared" si="11"/>
        <v>6624.7821000000004</v>
      </c>
      <c r="K65" s="60">
        <f t="shared" si="11"/>
        <v>11583.8001</v>
      </c>
      <c r="L65" s="60">
        <f t="shared" si="11"/>
        <v>7827.9264000000003</v>
      </c>
      <c r="M65" s="60">
        <f t="shared" si="11"/>
        <v>8079.2055</v>
      </c>
      <c r="N65" s="60">
        <f t="shared" si="11"/>
        <v>9149.2218000000012</v>
      </c>
      <c r="O65" s="60">
        <f>SUM(C65:N65)</f>
        <v>99699.559200000003</v>
      </c>
    </row>
    <row r="66" spans="2:15" ht="14" customHeight="1" x14ac:dyDescent="0.35">
      <c r="B66" s="32" t="s">
        <v>113</v>
      </c>
      <c r="C66" s="51">
        <f>C65*Assumptions!$F$24</f>
        <v>2764.9021500000003</v>
      </c>
      <c r="D66" s="51">
        <f>D65*Assumptions!$F$24</f>
        <v>1285.5172500000001</v>
      </c>
      <c r="E66" s="51">
        <f>E65*Assumptions!$F$24</f>
        <v>7732.2406500000006</v>
      </c>
      <c r="F66" s="133">
        <f>F65*Assumptions!$F$24</f>
        <v>3210.0488999999998</v>
      </c>
      <c r="G66" s="51">
        <f>G65*Assumptions!$F$24</f>
        <v>4220.1576000000005</v>
      </c>
      <c r="H66" s="51">
        <f>H65*Assumptions!$F$24</f>
        <v>5218.6176000000005</v>
      </c>
      <c r="I66" s="51">
        <f>I65*Assumptions!$F$24</f>
        <v>3785.8275000000003</v>
      </c>
      <c r="J66" s="51">
        <f>J65*Assumptions!$F$24</f>
        <v>3312.3910500000002</v>
      </c>
      <c r="K66" s="51">
        <f>K65*Assumptions!$F$24</f>
        <v>5791.9000500000002</v>
      </c>
      <c r="L66" s="51">
        <f>L65*Assumptions!$F$24</f>
        <v>3913.9632000000001</v>
      </c>
      <c r="M66" s="51">
        <f>M65*Assumptions!$F$24</f>
        <v>4039.60275</v>
      </c>
      <c r="N66" s="51">
        <f>N65*Assumptions!$F$24</f>
        <v>4574.6109000000006</v>
      </c>
      <c r="O66" s="51">
        <f>SUM(C66:N66)</f>
        <v>49849.779600000002</v>
      </c>
    </row>
    <row r="67" spans="2:15" ht="14" customHeight="1" x14ac:dyDescent="0.35">
      <c r="B67" s="32" t="s">
        <v>32</v>
      </c>
      <c r="C67" s="137">
        <v>0</v>
      </c>
      <c r="D67" s="137">
        <v>0</v>
      </c>
      <c r="E67" s="137">
        <v>0</v>
      </c>
      <c r="F67" s="140">
        <f>F66*Assumptions!$F$26</f>
        <v>32.100488999999996</v>
      </c>
      <c r="G67" s="137">
        <f>G66*Assumptions!$F$26</f>
        <v>42.201576000000003</v>
      </c>
      <c r="H67" s="137">
        <f>H66*Assumptions!$F$26</f>
        <v>52.186176000000003</v>
      </c>
      <c r="I67" s="137">
        <f>I66*Assumptions!$F$26</f>
        <v>37.858275000000006</v>
      </c>
      <c r="J67" s="137">
        <f>J66*Assumptions!$F$26</f>
        <v>33.123910500000001</v>
      </c>
      <c r="K67" s="137">
        <f>K66*Assumptions!$F$26</f>
        <v>57.919000500000003</v>
      </c>
      <c r="L67" s="137">
        <f>L66*Assumptions!$F$26</f>
        <v>39.139631999999999</v>
      </c>
      <c r="M67" s="137">
        <f>M66*Assumptions!$F$26</f>
        <v>40.396027500000002</v>
      </c>
      <c r="N67" s="137">
        <f>N66*Assumptions!$F$26</f>
        <v>45.746109000000004</v>
      </c>
      <c r="O67" s="138">
        <f>SUM(C67:N67)</f>
        <v>380.67119550000001</v>
      </c>
    </row>
    <row r="68" spans="2:15" ht="14" customHeight="1" x14ac:dyDescent="0.35">
      <c r="B68" s="32"/>
      <c r="O68" s="56"/>
    </row>
    <row r="70" spans="2:15" ht="14" customHeight="1" x14ac:dyDescent="0.35">
      <c r="B70" s="27" t="s">
        <v>114</v>
      </c>
      <c r="C70" s="59">
        <v>2019</v>
      </c>
      <c r="D70" s="139">
        <v>2020</v>
      </c>
      <c r="E70" s="59">
        <v>2021</v>
      </c>
      <c r="F70" s="59">
        <v>2022</v>
      </c>
      <c r="G70" s="59">
        <v>2023</v>
      </c>
      <c r="H70" s="59" t="s">
        <v>19</v>
      </c>
    </row>
    <row r="71" spans="2:15" ht="14" customHeight="1" x14ac:dyDescent="0.35">
      <c r="B71" s="31" t="s">
        <v>14</v>
      </c>
      <c r="C71" s="62">
        <f>O53</f>
        <v>23185.943999999996</v>
      </c>
      <c r="D71" s="133">
        <f>O63</f>
        <v>39879.823680000001</v>
      </c>
      <c r="E71" s="60">
        <f>Assumptions!G21*'Forecast Sold Cars'!E73</f>
        <v>79759.647360000003</v>
      </c>
      <c r="F71" s="60">
        <f>Assumptions!H21*'Forecast Sold Cars'!F73</f>
        <v>175471.22419200002</v>
      </c>
      <c r="G71" s="60">
        <f>Assumptions!I21*'Forecast Sold Cars'!G73</f>
        <v>446654.02521599998</v>
      </c>
      <c r="H71" s="60">
        <f>SUM(D71:G71)</f>
        <v>741764.72044800001</v>
      </c>
    </row>
    <row r="72" spans="2:15" ht="14" customHeight="1" x14ac:dyDescent="0.35">
      <c r="B72" s="31" t="s">
        <v>15</v>
      </c>
      <c r="C72" s="62">
        <f>O54</f>
        <v>54100.536000000007</v>
      </c>
      <c r="D72" s="133">
        <f>O64</f>
        <v>59819.735519999995</v>
      </c>
      <c r="E72" s="51">
        <f>Assumptions!G22*'Forecast Sold Cars'!E73</f>
        <v>79759.647360000003</v>
      </c>
      <c r="F72" s="51">
        <f>Assumptions!H22*'Forecast Sold Cars'!F73</f>
        <v>143567.36524800002</v>
      </c>
      <c r="G72" s="51">
        <f>Assumptions!I22*'Forecast Sold Cars'!G73</f>
        <v>191423.15366400001</v>
      </c>
      <c r="H72" s="51">
        <f>SUM(D72:G72)</f>
        <v>474569.90179200005</v>
      </c>
    </row>
    <row r="73" spans="2:15" ht="14" customHeight="1" x14ac:dyDescent="0.35">
      <c r="B73" s="31" t="s">
        <v>16</v>
      </c>
      <c r="C73" s="62">
        <f>O55</f>
        <v>77286.48</v>
      </c>
      <c r="D73" s="133">
        <f>O65</f>
        <v>99699.559200000003</v>
      </c>
      <c r="E73" s="60">
        <f>D73*Assumptions!G20</f>
        <v>159519.29472000001</v>
      </c>
      <c r="F73" s="60">
        <f>E73*Assumptions!H20</f>
        <v>319038.58944000001</v>
      </c>
      <c r="G73" s="60">
        <f>F73*Assumptions!I20</f>
        <v>638077.17888000002</v>
      </c>
      <c r="H73" s="60">
        <f>SUM(D73:G73)</f>
        <v>1216334.6222399999</v>
      </c>
    </row>
    <row r="74" spans="2:15" ht="14" customHeight="1" x14ac:dyDescent="0.35">
      <c r="B74" s="32" t="s">
        <v>113</v>
      </c>
      <c r="C74" s="62">
        <f>O56</f>
        <v>38643.24</v>
      </c>
      <c r="D74" s="133">
        <f>O66</f>
        <v>49849.779600000002</v>
      </c>
      <c r="E74" s="51">
        <f>E73*Assumptions!G24</f>
        <v>79759.647360000003</v>
      </c>
      <c r="F74" s="51">
        <f>F73*Assumptions!H24</f>
        <v>159519.29472000001</v>
      </c>
      <c r="G74" s="51">
        <f>G73*Assumptions!I24</f>
        <v>319038.58944000001</v>
      </c>
      <c r="H74" s="51">
        <f>SUM(D74:G74)</f>
        <v>608167.31111999997</v>
      </c>
    </row>
    <row r="75" spans="2:15" ht="14" customHeight="1" x14ac:dyDescent="0.35">
      <c r="B75" s="32" t="s">
        <v>32</v>
      </c>
      <c r="C75" s="63">
        <f>O57</f>
        <v>0</v>
      </c>
      <c r="D75" s="133">
        <f>O67</f>
        <v>380.67119550000001</v>
      </c>
      <c r="E75" s="137">
        <f>E74*Assumptions!G26</f>
        <v>2392.7894207999998</v>
      </c>
      <c r="F75" s="137">
        <f>F74*Assumptions!H26</f>
        <v>7975.9647360000008</v>
      </c>
      <c r="G75" s="137">
        <f>G74*Assumptions!I26</f>
        <v>25523.087155200003</v>
      </c>
      <c r="H75" s="141">
        <f>SUM(D75:G75)</f>
        <v>36272.512507500003</v>
      </c>
    </row>
    <row r="89" spans="2:15" ht="14" customHeight="1" x14ac:dyDescent="0.35">
      <c r="B89" s="36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1" spans="2:15" ht="20" customHeight="1" x14ac:dyDescent="0.35">
      <c r="B91" s="37" t="s">
        <v>24</v>
      </c>
      <c r="C91" s="58"/>
    </row>
    <row r="92" spans="2:15" ht="14" customHeight="1" x14ac:dyDescent="0.35">
      <c r="B92" s="30"/>
      <c r="C92" s="31"/>
    </row>
    <row r="93" spans="2:15" ht="14" customHeight="1" x14ac:dyDescent="0.35">
      <c r="B93" s="27" t="s">
        <v>0</v>
      </c>
      <c r="C93" s="65" t="s">
        <v>1</v>
      </c>
      <c r="D93" s="65" t="s">
        <v>2</v>
      </c>
      <c r="E93" s="65" t="s">
        <v>3</v>
      </c>
      <c r="F93" s="65" t="s">
        <v>4</v>
      </c>
      <c r="G93" s="65" t="s">
        <v>5</v>
      </c>
      <c r="H93" s="65" t="s">
        <v>6</v>
      </c>
      <c r="I93" s="65" t="s">
        <v>7</v>
      </c>
      <c r="J93" s="65" t="s">
        <v>8</v>
      </c>
      <c r="K93" s="65" t="s">
        <v>9</v>
      </c>
      <c r="L93" s="65" t="s">
        <v>10</v>
      </c>
      <c r="M93" s="65" t="s">
        <v>11</v>
      </c>
      <c r="N93" s="65" t="s">
        <v>12</v>
      </c>
      <c r="O93" s="65" t="s">
        <v>13</v>
      </c>
    </row>
    <row r="94" spans="2:15" ht="14" customHeight="1" x14ac:dyDescent="0.35">
      <c r="B94" s="31" t="s">
        <v>118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</row>
    <row r="95" spans="2:15" ht="14" customHeight="1" x14ac:dyDescent="0.35">
      <c r="B95" s="31" t="s">
        <v>15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</row>
    <row r="96" spans="2:15" ht="14" customHeight="1" x14ac:dyDescent="0.35">
      <c r="B96" s="31" t="s">
        <v>16</v>
      </c>
      <c r="C96" s="51">
        <v>5582</v>
      </c>
      <c r="D96" s="51">
        <v>5582</v>
      </c>
      <c r="E96" s="51">
        <v>5582</v>
      </c>
      <c r="F96" s="51">
        <v>5582</v>
      </c>
      <c r="G96" s="51">
        <v>5582</v>
      </c>
      <c r="H96" s="51">
        <v>5582</v>
      </c>
      <c r="I96" s="51">
        <v>5582</v>
      </c>
      <c r="J96" s="51">
        <v>5582</v>
      </c>
      <c r="K96" s="51">
        <v>5582</v>
      </c>
      <c r="L96" s="51">
        <v>5804</v>
      </c>
      <c r="M96" s="51">
        <v>5804</v>
      </c>
      <c r="N96" s="51">
        <v>5804</v>
      </c>
      <c r="O96" s="51">
        <f>SUM(C96:N96)</f>
        <v>67650</v>
      </c>
    </row>
    <row r="98" spans="2:15" ht="14" customHeight="1" x14ac:dyDescent="0.35">
      <c r="B98" s="27" t="s">
        <v>17</v>
      </c>
      <c r="C98" s="65" t="s">
        <v>1</v>
      </c>
      <c r="D98" s="65" t="s">
        <v>2</v>
      </c>
      <c r="E98" s="65" t="s">
        <v>3</v>
      </c>
      <c r="F98" s="65" t="s">
        <v>4</v>
      </c>
      <c r="G98" s="65" t="s">
        <v>5</v>
      </c>
      <c r="H98" s="65" t="s">
        <v>6</v>
      </c>
      <c r="I98" s="65" t="s">
        <v>7</v>
      </c>
      <c r="J98" s="65" t="s">
        <v>8</v>
      </c>
      <c r="K98" s="65" t="s">
        <v>9</v>
      </c>
      <c r="L98" s="65" t="s">
        <v>10</v>
      </c>
      <c r="M98" s="65" t="s">
        <v>11</v>
      </c>
      <c r="N98" s="65" t="s">
        <v>12</v>
      </c>
      <c r="O98" s="65" t="s">
        <v>22</v>
      </c>
    </row>
    <row r="99" spans="2:15" ht="14" customHeight="1" x14ac:dyDescent="0.35">
      <c r="B99" s="30" t="s">
        <v>103</v>
      </c>
      <c r="C99" s="53">
        <f>Assumptions!$E$34</f>
        <v>1.24</v>
      </c>
      <c r="D99" s="53">
        <f>Assumptions!$E$34</f>
        <v>1.24</v>
      </c>
      <c r="E99" s="53">
        <f>Assumptions!$E$34</f>
        <v>1.24</v>
      </c>
      <c r="F99" s="53">
        <f>Assumptions!$E$34</f>
        <v>1.24</v>
      </c>
      <c r="G99" s="53">
        <f>Assumptions!$E$34</f>
        <v>1.24</v>
      </c>
      <c r="H99" s="53">
        <f>Assumptions!$E$34</f>
        <v>1.24</v>
      </c>
      <c r="I99" s="53">
        <f>Assumptions!$E$34</f>
        <v>1.24</v>
      </c>
      <c r="J99" s="53">
        <f>Assumptions!$E$34</f>
        <v>1.24</v>
      </c>
      <c r="K99" s="53">
        <f>Assumptions!$E$34</f>
        <v>1.24</v>
      </c>
      <c r="L99" s="53">
        <f>Assumptions!$E$34</f>
        <v>1.24</v>
      </c>
      <c r="M99" s="53">
        <f>Assumptions!$E$34</f>
        <v>1.24</v>
      </c>
      <c r="N99" s="53">
        <f>Assumptions!$E$34</f>
        <v>1.24</v>
      </c>
      <c r="O99" s="32"/>
    </row>
    <row r="100" spans="2:15" ht="14" customHeight="1" x14ac:dyDescent="0.35">
      <c r="B100" s="126" t="s">
        <v>110</v>
      </c>
      <c r="C100" s="53">
        <f>Assumptions!$E$35</f>
        <v>0.3</v>
      </c>
      <c r="D100" s="53">
        <f>Assumptions!$E$35</f>
        <v>0.3</v>
      </c>
      <c r="E100" s="53">
        <f>Assumptions!$E$35</f>
        <v>0.3</v>
      </c>
      <c r="F100" s="53">
        <f>Assumptions!$E$35</f>
        <v>0.3</v>
      </c>
      <c r="G100" s="53">
        <f>Assumptions!$E$35</f>
        <v>0.3</v>
      </c>
      <c r="H100" s="53">
        <f>Assumptions!$E$35</f>
        <v>0.3</v>
      </c>
      <c r="I100" s="53">
        <f>Assumptions!$E$35</f>
        <v>0.3</v>
      </c>
      <c r="J100" s="53">
        <f>Assumptions!$E$35</f>
        <v>0.3</v>
      </c>
      <c r="K100" s="53">
        <f>Assumptions!$E$35</f>
        <v>0.3</v>
      </c>
      <c r="L100" s="53">
        <f>Assumptions!$E$35</f>
        <v>0.3</v>
      </c>
      <c r="M100" s="53">
        <f>Assumptions!$E$35</f>
        <v>0.3</v>
      </c>
      <c r="N100" s="53">
        <f>Assumptions!$E$35</f>
        <v>0.3</v>
      </c>
      <c r="O100" s="32"/>
    </row>
    <row r="101" spans="2:15" ht="14" customHeight="1" x14ac:dyDescent="0.35">
      <c r="B101" s="126" t="s">
        <v>109</v>
      </c>
      <c r="C101" s="53">
        <f>Assumptions!$E$36</f>
        <v>0.7</v>
      </c>
      <c r="D101" s="53">
        <f>Assumptions!$E$36</f>
        <v>0.7</v>
      </c>
      <c r="E101" s="53">
        <f>Assumptions!$E$36</f>
        <v>0.7</v>
      </c>
      <c r="F101" s="53">
        <f>Assumptions!$E$36</f>
        <v>0.7</v>
      </c>
      <c r="G101" s="53">
        <f>Assumptions!$E$36</f>
        <v>0.7</v>
      </c>
      <c r="H101" s="53">
        <f>Assumptions!$E$36</f>
        <v>0.7</v>
      </c>
      <c r="I101" s="53">
        <f>Assumptions!$E$36</f>
        <v>0.7</v>
      </c>
      <c r="J101" s="53">
        <f>Assumptions!$E$36</f>
        <v>0.7</v>
      </c>
      <c r="K101" s="53">
        <f>Assumptions!$E$36</f>
        <v>0.7</v>
      </c>
      <c r="L101" s="53">
        <f>Assumptions!$E$36</f>
        <v>0.7</v>
      </c>
      <c r="M101" s="53">
        <f>Assumptions!$E$36</f>
        <v>0.7</v>
      </c>
      <c r="N101" s="53">
        <f>Assumptions!$E$36</f>
        <v>0.7</v>
      </c>
      <c r="O101" s="32"/>
    </row>
    <row r="102" spans="2:15" ht="14" customHeight="1" x14ac:dyDescent="0.35">
      <c r="B102" s="31" t="s">
        <v>105</v>
      </c>
      <c r="C102" s="66">
        <f>C100*C104</f>
        <v>2076.5039999999999</v>
      </c>
      <c r="D102" s="66">
        <f t="shared" ref="D102:N102" si="12">D100*D104</f>
        <v>2076.5039999999999</v>
      </c>
      <c r="E102" s="66">
        <f t="shared" si="12"/>
        <v>2076.5039999999999</v>
      </c>
      <c r="F102" s="66">
        <f t="shared" si="12"/>
        <v>2076.5039999999999</v>
      </c>
      <c r="G102" s="66">
        <f t="shared" si="12"/>
        <v>2076.5039999999999</v>
      </c>
      <c r="H102" s="66">
        <f t="shared" si="12"/>
        <v>2076.5039999999999</v>
      </c>
      <c r="I102" s="66">
        <f t="shared" si="12"/>
        <v>2076.5039999999999</v>
      </c>
      <c r="J102" s="66">
        <f t="shared" si="12"/>
        <v>2076.5039999999999</v>
      </c>
      <c r="K102" s="66">
        <f t="shared" si="12"/>
        <v>2076.5039999999999</v>
      </c>
      <c r="L102" s="66">
        <f t="shared" si="12"/>
        <v>2159.0879999999997</v>
      </c>
      <c r="M102" s="66">
        <f t="shared" si="12"/>
        <v>2159.0879999999997</v>
      </c>
      <c r="N102" s="66">
        <f t="shared" si="12"/>
        <v>2159.0879999999997</v>
      </c>
      <c r="O102" s="66">
        <f>SUM(C102:N102)</f>
        <v>25165.800000000003</v>
      </c>
    </row>
    <row r="103" spans="2:15" ht="14" customHeight="1" x14ac:dyDescent="0.35">
      <c r="B103" s="31" t="s">
        <v>15</v>
      </c>
      <c r="C103" s="51">
        <f>C101*C104</f>
        <v>4845.1759999999995</v>
      </c>
      <c r="D103" s="51">
        <f t="shared" ref="D103:N103" si="13">D101*D104</f>
        <v>4845.1759999999995</v>
      </c>
      <c r="E103" s="51">
        <f t="shared" si="13"/>
        <v>4845.1759999999995</v>
      </c>
      <c r="F103" s="51">
        <f t="shared" si="13"/>
        <v>4845.1759999999995</v>
      </c>
      <c r="G103" s="51">
        <f t="shared" si="13"/>
        <v>4845.1759999999995</v>
      </c>
      <c r="H103" s="51">
        <f t="shared" si="13"/>
        <v>4845.1759999999995</v>
      </c>
      <c r="I103" s="51">
        <f t="shared" si="13"/>
        <v>4845.1759999999995</v>
      </c>
      <c r="J103" s="51">
        <f t="shared" si="13"/>
        <v>4845.1759999999995</v>
      </c>
      <c r="K103" s="51">
        <f t="shared" si="13"/>
        <v>4845.1759999999995</v>
      </c>
      <c r="L103" s="51">
        <f t="shared" si="13"/>
        <v>5037.8719999999994</v>
      </c>
      <c r="M103" s="51">
        <f t="shared" si="13"/>
        <v>5037.8719999999994</v>
      </c>
      <c r="N103" s="51">
        <f t="shared" si="13"/>
        <v>5037.8719999999994</v>
      </c>
      <c r="O103" s="51">
        <f>SUM(C103:N103)</f>
        <v>58720.2</v>
      </c>
    </row>
    <row r="104" spans="2:15" ht="14" customHeight="1" x14ac:dyDescent="0.35">
      <c r="B104" s="31" t="s">
        <v>16</v>
      </c>
      <c r="C104" s="66">
        <f>C96*C99</f>
        <v>6921.68</v>
      </c>
      <c r="D104" s="66">
        <f t="shared" ref="D104:N104" si="14">D96*D99</f>
        <v>6921.68</v>
      </c>
      <c r="E104" s="66">
        <f t="shared" si="14"/>
        <v>6921.68</v>
      </c>
      <c r="F104" s="66">
        <f t="shared" si="14"/>
        <v>6921.68</v>
      </c>
      <c r="G104" s="66">
        <f t="shared" si="14"/>
        <v>6921.68</v>
      </c>
      <c r="H104" s="66">
        <f t="shared" si="14"/>
        <v>6921.68</v>
      </c>
      <c r="I104" s="66">
        <f t="shared" si="14"/>
        <v>6921.68</v>
      </c>
      <c r="J104" s="66">
        <f t="shared" si="14"/>
        <v>6921.68</v>
      </c>
      <c r="K104" s="66">
        <f t="shared" si="14"/>
        <v>6921.68</v>
      </c>
      <c r="L104" s="66">
        <f t="shared" si="14"/>
        <v>7196.96</v>
      </c>
      <c r="M104" s="66">
        <f t="shared" si="14"/>
        <v>7196.96</v>
      </c>
      <c r="N104" s="66">
        <f t="shared" si="14"/>
        <v>7196.96</v>
      </c>
      <c r="O104" s="66">
        <f>SUM(C104:N104)</f>
        <v>83886.000000000015</v>
      </c>
    </row>
    <row r="105" spans="2:15" ht="14" customHeight="1" x14ac:dyDescent="0.35">
      <c r="B105" s="32" t="s">
        <v>113</v>
      </c>
      <c r="C105" s="51">
        <f>C104*Assumptions!$E$38</f>
        <v>3460.84</v>
      </c>
      <c r="D105" s="51">
        <f>D104*Assumptions!$E$38</f>
        <v>3460.84</v>
      </c>
      <c r="E105" s="51">
        <f>E104*Assumptions!$E$38</f>
        <v>3460.84</v>
      </c>
      <c r="F105" s="51">
        <f>F104*Assumptions!$E$38</f>
        <v>3460.84</v>
      </c>
      <c r="G105" s="51">
        <f>G104*Assumptions!$E$38</f>
        <v>3460.84</v>
      </c>
      <c r="H105" s="51">
        <f>H104*Assumptions!$E$38</f>
        <v>3460.84</v>
      </c>
      <c r="I105" s="51">
        <f>I104*Assumptions!$E$38</f>
        <v>3460.84</v>
      </c>
      <c r="J105" s="51">
        <f>J104*Assumptions!$E$38</f>
        <v>3460.84</v>
      </c>
      <c r="K105" s="51">
        <f>K104*Assumptions!$E$38</f>
        <v>3460.84</v>
      </c>
      <c r="L105" s="51">
        <f>L104*Assumptions!$E$38</f>
        <v>3598.48</v>
      </c>
      <c r="M105" s="51">
        <f>M104*Assumptions!$E$38</f>
        <v>3598.48</v>
      </c>
      <c r="N105" s="51">
        <f>N104*Assumptions!$E$38</f>
        <v>3598.48</v>
      </c>
      <c r="O105" s="51">
        <f>SUM(C105:N105)</f>
        <v>41943.000000000007</v>
      </c>
    </row>
    <row r="106" spans="2:15" ht="14" customHeight="1" x14ac:dyDescent="0.35">
      <c r="B106" s="32" t="s">
        <v>32</v>
      </c>
      <c r="C106" s="67">
        <f>C105*Assumptions!$E$40</f>
        <v>0</v>
      </c>
      <c r="D106" s="67">
        <f>D105*Assumptions!$E$40</f>
        <v>0</v>
      </c>
      <c r="E106" s="67">
        <f>E105*Assumptions!$E$40</f>
        <v>0</v>
      </c>
      <c r="F106" s="67">
        <f>F105*Assumptions!$E$40</f>
        <v>0</v>
      </c>
      <c r="G106" s="67">
        <f>G105*Assumptions!$E$40</f>
        <v>0</v>
      </c>
      <c r="H106" s="67">
        <f>H105*Assumptions!$E$40</f>
        <v>0</v>
      </c>
      <c r="I106" s="67">
        <f>I105*Assumptions!$E$40</f>
        <v>0</v>
      </c>
      <c r="J106" s="67">
        <f>J105*Assumptions!$E$40</f>
        <v>0</v>
      </c>
      <c r="K106" s="67">
        <f>K105*Assumptions!$E$40</f>
        <v>0</v>
      </c>
      <c r="L106" s="67">
        <f>L105*Assumptions!$E$40</f>
        <v>0</v>
      </c>
      <c r="M106" s="67">
        <f>M105*Assumptions!$E$40</f>
        <v>0</v>
      </c>
      <c r="N106" s="67">
        <f>N105*Assumptions!$E$40</f>
        <v>0</v>
      </c>
      <c r="O106" s="68">
        <f>SUM(C106:N106)</f>
        <v>0</v>
      </c>
    </row>
    <row r="107" spans="2:15" ht="14" customHeight="1" x14ac:dyDescent="0.35">
      <c r="B107" s="32"/>
      <c r="O107" s="56"/>
    </row>
    <row r="108" spans="2:15" ht="14" customHeight="1" x14ac:dyDescent="0.35">
      <c r="B108" s="27" t="s">
        <v>35</v>
      </c>
      <c r="C108" s="65" t="s">
        <v>1</v>
      </c>
      <c r="D108" s="65" t="s">
        <v>2</v>
      </c>
      <c r="E108" s="65" t="s">
        <v>3</v>
      </c>
      <c r="F108" s="65" t="s">
        <v>4</v>
      </c>
      <c r="G108" s="65" t="s">
        <v>5</v>
      </c>
      <c r="H108" s="65" t="s">
        <v>6</v>
      </c>
      <c r="I108" s="65" t="s">
        <v>7</v>
      </c>
      <c r="J108" s="65" t="s">
        <v>8</v>
      </c>
      <c r="K108" s="144" t="s">
        <v>9</v>
      </c>
      <c r="L108" s="65" t="s">
        <v>10</v>
      </c>
      <c r="M108" s="65" t="s">
        <v>11</v>
      </c>
      <c r="N108" s="65" t="s">
        <v>12</v>
      </c>
      <c r="O108" s="65" t="s">
        <v>115</v>
      </c>
    </row>
    <row r="109" spans="2:15" ht="14" customHeight="1" x14ac:dyDescent="0.35">
      <c r="B109" s="30" t="s">
        <v>103</v>
      </c>
      <c r="C109" s="53">
        <f>Assumptions!$F$34</f>
        <v>1.24</v>
      </c>
      <c r="D109" s="53">
        <f>Assumptions!$F$34</f>
        <v>1.24</v>
      </c>
      <c r="E109" s="53">
        <f>Assumptions!$F$34</f>
        <v>1.24</v>
      </c>
      <c r="F109" s="53">
        <f>Assumptions!$F$34</f>
        <v>1.24</v>
      </c>
      <c r="G109" s="53">
        <f>Assumptions!$F$34</f>
        <v>1.24</v>
      </c>
      <c r="H109" s="53">
        <f>Assumptions!$F$34</f>
        <v>1.24</v>
      </c>
      <c r="I109" s="53">
        <f>Assumptions!$F$34</f>
        <v>1.24</v>
      </c>
      <c r="J109" s="53">
        <f>Assumptions!$F$34</f>
        <v>1.24</v>
      </c>
      <c r="K109" s="135">
        <f>Assumptions!$F$34</f>
        <v>1.24</v>
      </c>
      <c r="L109" s="53">
        <f>Assumptions!$F$34</f>
        <v>1.24</v>
      </c>
      <c r="M109" s="53">
        <f>Assumptions!$F$34</f>
        <v>1.24</v>
      </c>
      <c r="N109" s="53">
        <f>Assumptions!$F$34</f>
        <v>1.24</v>
      </c>
      <c r="O109" s="32"/>
    </row>
    <row r="110" spans="2:15" ht="14" customHeight="1" x14ac:dyDescent="0.35">
      <c r="B110" s="126" t="s">
        <v>110</v>
      </c>
      <c r="C110" s="53">
        <f>Assumptions!$F$35</f>
        <v>0.4</v>
      </c>
      <c r="D110" s="53">
        <f>Assumptions!$F$35</f>
        <v>0.4</v>
      </c>
      <c r="E110" s="53">
        <f>Assumptions!$F$35</f>
        <v>0.4</v>
      </c>
      <c r="F110" s="53">
        <f>Assumptions!$F$35</f>
        <v>0.4</v>
      </c>
      <c r="G110" s="53">
        <f>Assumptions!$F$35</f>
        <v>0.4</v>
      </c>
      <c r="H110" s="53">
        <f>Assumptions!$F$35</f>
        <v>0.4</v>
      </c>
      <c r="I110" s="53">
        <f>Assumptions!$F$35</f>
        <v>0.4</v>
      </c>
      <c r="J110" s="53">
        <f>Assumptions!$F$35</f>
        <v>0.4</v>
      </c>
      <c r="K110" s="135">
        <f>Assumptions!$F$35</f>
        <v>0.4</v>
      </c>
      <c r="L110" s="53">
        <f>Assumptions!$F$35</f>
        <v>0.4</v>
      </c>
      <c r="M110" s="53">
        <f>Assumptions!$F$35</f>
        <v>0.4</v>
      </c>
      <c r="N110" s="53">
        <f>Assumptions!$F$35</f>
        <v>0.4</v>
      </c>
      <c r="O110" s="32"/>
    </row>
    <row r="111" spans="2:15" ht="14" customHeight="1" x14ac:dyDescent="0.35">
      <c r="B111" s="126" t="s">
        <v>109</v>
      </c>
      <c r="C111" s="53">
        <f>Assumptions!$F$36</f>
        <v>0.6</v>
      </c>
      <c r="D111" s="53">
        <f>Assumptions!$F$36</f>
        <v>0.6</v>
      </c>
      <c r="E111" s="53">
        <f>Assumptions!$F$36</f>
        <v>0.6</v>
      </c>
      <c r="F111" s="53">
        <f>Assumptions!$F$36</f>
        <v>0.6</v>
      </c>
      <c r="G111" s="53">
        <f>Assumptions!$F$36</f>
        <v>0.6</v>
      </c>
      <c r="H111" s="53">
        <f>Assumptions!$F$36</f>
        <v>0.6</v>
      </c>
      <c r="I111" s="53">
        <f>Assumptions!$F$36</f>
        <v>0.6</v>
      </c>
      <c r="J111" s="53">
        <f>Assumptions!$F$36</f>
        <v>0.6</v>
      </c>
      <c r="K111" s="135">
        <f>Assumptions!$F$36</f>
        <v>0.6</v>
      </c>
      <c r="L111" s="53">
        <f>Assumptions!$F$36</f>
        <v>0.6</v>
      </c>
      <c r="M111" s="53">
        <f>Assumptions!$F$36</f>
        <v>0.6</v>
      </c>
      <c r="N111" s="53">
        <f>Assumptions!$F$36</f>
        <v>0.6</v>
      </c>
      <c r="O111" s="32"/>
    </row>
    <row r="112" spans="2:15" ht="14" customHeight="1" x14ac:dyDescent="0.35">
      <c r="B112" s="31" t="s">
        <v>116</v>
      </c>
      <c r="C112" s="66">
        <f>C110*C114</f>
        <v>3433.1532800000004</v>
      </c>
      <c r="D112" s="66">
        <f>D110*D114</f>
        <v>3433.1532800000004</v>
      </c>
      <c r="E112" s="66">
        <f t="shared" ref="E112:N112" si="15">E110*E114</f>
        <v>3433.1532800000004</v>
      </c>
      <c r="F112" s="66">
        <f t="shared" si="15"/>
        <v>3433.1532800000004</v>
      </c>
      <c r="G112" s="66">
        <f t="shared" si="15"/>
        <v>3433.1532800000004</v>
      </c>
      <c r="H112" s="66">
        <f t="shared" si="15"/>
        <v>3433.1532800000004</v>
      </c>
      <c r="I112" s="66">
        <f t="shared" si="15"/>
        <v>3433.1532800000004</v>
      </c>
      <c r="J112" s="66">
        <f t="shared" si="15"/>
        <v>3433.1532800000004</v>
      </c>
      <c r="K112" s="133">
        <f t="shared" si="15"/>
        <v>3433.1532800000004</v>
      </c>
      <c r="L112" s="66">
        <f t="shared" si="15"/>
        <v>3569.6921600000005</v>
      </c>
      <c r="M112" s="66">
        <f t="shared" si="15"/>
        <v>3569.6921600000005</v>
      </c>
      <c r="N112" s="66">
        <f t="shared" si="15"/>
        <v>3569.6921600000005</v>
      </c>
      <c r="O112" s="66">
        <f>SUM(C112:N112)</f>
        <v>41607.455999999991</v>
      </c>
    </row>
    <row r="113" spans="2:15" ht="14" customHeight="1" x14ac:dyDescent="0.35">
      <c r="B113" s="31" t="s">
        <v>15</v>
      </c>
      <c r="C113" s="51">
        <f>C111*C114</f>
        <v>5149.7299199999998</v>
      </c>
      <c r="D113" s="51">
        <f t="shared" ref="D113:N113" si="16">D111*D114</f>
        <v>5149.7299199999998</v>
      </c>
      <c r="E113" s="51">
        <f t="shared" si="16"/>
        <v>5149.7299199999998</v>
      </c>
      <c r="F113" s="51">
        <f t="shared" si="16"/>
        <v>5149.7299199999998</v>
      </c>
      <c r="G113" s="51">
        <f t="shared" si="16"/>
        <v>5149.7299199999998</v>
      </c>
      <c r="H113" s="51">
        <f t="shared" si="16"/>
        <v>5149.7299199999998</v>
      </c>
      <c r="I113" s="51">
        <f t="shared" si="16"/>
        <v>5149.7299199999998</v>
      </c>
      <c r="J113" s="51">
        <f t="shared" si="16"/>
        <v>5149.7299199999998</v>
      </c>
      <c r="K113" s="133">
        <f t="shared" si="16"/>
        <v>5149.7299199999998</v>
      </c>
      <c r="L113" s="51">
        <f t="shared" si="16"/>
        <v>5354.5382399999999</v>
      </c>
      <c r="M113" s="51">
        <f t="shared" si="16"/>
        <v>5354.5382399999999</v>
      </c>
      <c r="N113" s="51">
        <f t="shared" si="16"/>
        <v>5354.5382399999999</v>
      </c>
      <c r="O113" s="51">
        <f>SUM(C113:N113)</f>
        <v>62411.183999999994</v>
      </c>
    </row>
    <row r="114" spans="2:15" ht="14" customHeight="1" x14ac:dyDescent="0.35">
      <c r="B114" s="31" t="s">
        <v>16</v>
      </c>
      <c r="C114" s="66">
        <f>C104*C109</f>
        <v>8582.8832000000002</v>
      </c>
      <c r="D114" s="66">
        <f t="shared" ref="D114:N114" si="17">D104*D109</f>
        <v>8582.8832000000002</v>
      </c>
      <c r="E114" s="66">
        <f t="shared" si="17"/>
        <v>8582.8832000000002</v>
      </c>
      <c r="F114" s="66">
        <f t="shared" si="17"/>
        <v>8582.8832000000002</v>
      </c>
      <c r="G114" s="66">
        <f t="shared" si="17"/>
        <v>8582.8832000000002</v>
      </c>
      <c r="H114" s="66">
        <f t="shared" si="17"/>
        <v>8582.8832000000002</v>
      </c>
      <c r="I114" s="66">
        <f t="shared" si="17"/>
        <v>8582.8832000000002</v>
      </c>
      <c r="J114" s="66">
        <f t="shared" si="17"/>
        <v>8582.8832000000002</v>
      </c>
      <c r="K114" s="133">
        <f t="shared" si="17"/>
        <v>8582.8832000000002</v>
      </c>
      <c r="L114" s="66">
        <f t="shared" si="17"/>
        <v>8924.2304000000004</v>
      </c>
      <c r="M114" s="66">
        <f t="shared" si="17"/>
        <v>8924.2304000000004</v>
      </c>
      <c r="N114" s="66">
        <f t="shared" si="17"/>
        <v>8924.2304000000004</v>
      </c>
      <c r="O114" s="66">
        <f>SUM(C114:N114)</f>
        <v>104018.63999999998</v>
      </c>
    </row>
    <row r="115" spans="2:15" ht="14" customHeight="1" x14ac:dyDescent="0.35">
      <c r="B115" s="32" t="s">
        <v>113</v>
      </c>
      <c r="C115" s="51">
        <f>C114*Assumptions!$F$38</f>
        <v>4291.4416000000001</v>
      </c>
      <c r="D115" s="51">
        <f>D114*Assumptions!$F$38</f>
        <v>4291.4416000000001</v>
      </c>
      <c r="E115" s="51">
        <f>E114*Assumptions!$F$38</f>
        <v>4291.4416000000001</v>
      </c>
      <c r="F115" s="51">
        <f>F114*Assumptions!$F$38</f>
        <v>4291.4416000000001</v>
      </c>
      <c r="G115" s="51">
        <f>G114*Assumptions!$F$38</f>
        <v>4291.4416000000001</v>
      </c>
      <c r="H115" s="51">
        <f>H114*Assumptions!$F$38</f>
        <v>4291.4416000000001</v>
      </c>
      <c r="I115" s="51">
        <f>I114*Assumptions!$F$38</f>
        <v>4291.4416000000001</v>
      </c>
      <c r="J115" s="51">
        <f>J114*Assumptions!$F$38</f>
        <v>4291.4416000000001</v>
      </c>
      <c r="K115" s="133">
        <f>K114*Assumptions!$F$38</f>
        <v>4291.4416000000001</v>
      </c>
      <c r="L115" s="51">
        <f>L114*Assumptions!$F$38</f>
        <v>4462.1152000000002</v>
      </c>
      <c r="M115" s="51">
        <f>M114*Assumptions!$F$38</f>
        <v>4462.1152000000002</v>
      </c>
      <c r="N115" s="51">
        <f>N114*Assumptions!$F$38</f>
        <v>4462.1152000000002</v>
      </c>
      <c r="O115" s="66">
        <f>SUM(C115:N115)</f>
        <v>52009.319999999992</v>
      </c>
    </row>
    <row r="116" spans="2:15" ht="14" customHeight="1" x14ac:dyDescent="0.35">
      <c r="B116" s="32" t="s">
        <v>32</v>
      </c>
      <c r="C116" s="142">
        <v>0</v>
      </c>
      <c r="D116" s="142">
        <v>0</v>
      </c>
      <c r="E116" s="142">
        <v>0</v>
      </c>
      <c r="F116" s="142">
        <v>0</v>
      </c>
      <c r="G116" s="142">
        <v>0</v>
      </c>
      <c r="H116" s="142">
        <v>0</v>
      </c>
      <c r="I116" s="142">
        <v>0</v>
      </c>
      <c r="J116" s="142">
        <v>0</v>
      </c>
      <c r="K116" s="145">
        <f>K115*Assumptions!$F$40</f>
        <v>0</v>
      </c>
      <c r="L116" s="142">
        <f>L115*Assumptions!$F$40</f>
        <v>0</v>
      </c>
      <c r="M116" s="142">
        <f>M115*Assumptions!$F$40</f>
        <v>0</v>
      </c>
      <c r="N116" s="142">
        <f>N115*Assumptions!$F$40</f>
        <v>0</v>
      </c>
      <c r="O116" s="143">
        <f>SUM(C116:N116)</f>
        <v>0</v>
      </c>
    </row>
    <row r="117" spans="2:15" ht="14" customHeight="1" x14ac:dyDescent="0.35">
      <c r="B117" s="32"/>
      <c r="O117" s="56"/>
    </row>
    <row r="118" spans="2:15" ht="14" customHeight="1" x14ac:dyDescent="0.35">
      <c r="B118" s="32"/>
      <c r="O118" s="56"/>
    </row>
    <row r="120" spans="2:15" ht="14" customHeight="1" x14ac:dyDescent="0.35">
      <c r="B120" s="27" t="s">
        <v>18</v>
      </c>
      <c r="C120" s="65">
        <v>2019</v>
      </c>
      <c r="D120" s="144">
        <v>2020</v>
      </c>
      <c r="E120" s="65">
        <v>2021</v>
      </c>
      <c r="F120" s="65">
        <v>2022</v>
      </c>
      <c r="G120" s="65">
        <v>2023</v>
      </c>
      <c r="H120" s="65" t="s">
        <v>19</v>
      </c>
    </row>
    <row r="121" spans="2:15" ht="14" customHeight="1" x14ac:dyDescent="0.35">
      <c r="B121" s="31" t="s">
        <v>116</v>
      </c>
      <c r="C121" s="69">
        <f>O102</f>
        <v>25165.800000000003</v>
      </c>
      <c r="D121" s="133">
        <f>O112</f>
        <v>41607.455999999991</v>
      </c>
      <c r="E121" s="66">
        <f>E123*Assumptions!G35</f>
        <v>72813.047999999981</v>
      </c>
      <c r="F121" s="66">
        <f>F123*Assumptions!H35</f>
        <v>160188.70559999996</v>
      </c>
      <c r="G121" s="66">
        <f>G123*Assumptions!I35</f>
        <v>407753.06879999989</v>
      </c>
      <c r="H121" s="66">
        <f>SUM(C121:G121)</f>
        <v>707528.07839999977</v>
      </c>
    </row>
    <row r="122" spans="2:15" ht="14" customHeight="1" x14ac:dyDescent="0.35">
      <c r="B122" s="31" t="s">
        <v>15</v>
      </c>
      <c r="C122" s="69">
        <f>O103</f>
        <v>58720.2</v>
      </c>
      <c r="D122" s="133">
        <f>O113</f>
        <v>62411.183999999994</v>
      </c>
      <c r="E122" s="51">
        <f>E123*Assumptions!G36</f>
        <v>72813.047999999981</v>
      </c>
      <c r="F122" s="51">
        <f>F123*Assumptions!H36</f>
        <v>131063.48639999997</v>
      </c>
      <c r="G122" s="51">
        <f>G123*Assumptions!I36</f>
        <v>174751.31519999995</v>
      </c>
      <c r="H122" s="51">
        <f>SUM(C122:G122)</f>
        <v>499759.23359999992</v>
      </c>
    </row>
    <row r="123" spans="2:15" ht="14" customHeight="1" x14ac:dyDescent="0.35">
      <c r="B123" s="31" t="s">
        <v>16</v>
      </c>
      <c r="C123" s="69">
        <f>O104</f>
        <v>83886.000000000015</v>
      </c>
      <c r="D123" s="133">
        <f>O114</f>
        <v>104018.63999999998</v>
      </c>
      <c r="E123" s="66">
        <f>D123*Assumptions!G34</f>
        <v>145626.09599999996</v>
      </c>
      <c r="F123" s="66">
        <f>E123*Assumptions!H34</f>
        <v>291252.19199999992</v>
      </c>
      <c r="G123" s="66">
        <f>F123*Assumptions!I34</f>
        <v>582504.38399999985</v>
      </c>
      <c r="H123" s="66">
        <f>SUM(C123:G123)</f>
        <v>1207287.3119999997</v>
      </c>
    </row>
    <row r="124" spans="2:15" ht="14" customHeight="1" x14ac:dyDescent="0.35">
      <c r="B124" s="32" t="s">
        <v>113</v>
      </c>
      <c r="C124" s="69">
        <f>O105</f>
        <v>41943.000000000007</v>
      </c>
      <c r="D124" s="133">
        <f>O115</f>
        <v>52009.319999999992</v>
      </c>
      <c r="E124" s="51">
        <f>E123*Assumptions!G38</f>
        <v>72813.047999999981</v>
      </c>
      <c r="F124" s="51">
        <f>F123*Assumptions!H38</f>
        <v>145626.09599999996</v>
      </c>
      <c r="G124" s="51">
        <f>G123*Assumptions!I38</f>
        <v>291252.19199999992</v>
      </c>
      <c r="H124" s="51">
        <f>SUM(C124:G124)</f>
        <v>603643.65599999984</v>
      </c>
    </row>
    <row r="125" spans="2:15" ht="14" customHeight="1" x14ac:dyDescent="0.35">
      <c r="B125" s="32" t="s">
        <v>32</v>
      </c>
      <c r="C125" s="70">
        <f>O106</f>
        <v>0</v>
      </c>
      <c r="D125" s="145">
        <f>O116</f>
        <v>0</v>
      </c>
      <c r="E125" s="142">
        <f>E124*Assumptions!G40</f>
        <v>728.13047999999981</v>
      </c>
      <c r="F125" s="142">
        <f>F124*Assumptions!H40</f>
        <v>4368.7828799999988</v>
      </c>
      <c r="G125" s="142">
        <f>G124*Assumptions!I40</f>
        <v>14562.609599999996</v>
      </c>
      <c r="H125" s="146">
        <f>SUM(C125:G125)</f>
        <v>19659.522959999995</v>
      </c>
    </row>
    <row r="138" spans="2:15" ht="14" customHeight="1" x14ac:dyDescent="0.35">
      <c r="B138" s="36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</row>
    <row r="140" spans="2:15" s="39" customFormat="1" ht="20" customHeight="1" x14ac:dyDescent="0.35">
      <c r="B140" s="38" t="s">
        <v>23</v>
      </c>
      <c r="C140" s="48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</row>
    <row r="141" spans="2:15" ht="14" customHeight="1" x14ac:dyDescent="0.35">
      <c r="B141" s="30"/>
      <c r="C141" s="31"/>
    </row>
    <row r="142" spans="2:15" ht="14" customHeight="1" x14ac:dyDescent="0.35">
      <c r="B142" s="27" t="s">
        <v>0</v>
      </c>
      <c r="C142" s="72" t="s">
        <v>1</v>
      </c>
      <c r="D142" s="72" t="s">
        <v>2</v>
      </c>
      <c r="E142" s="72" t="s">
        <v>3</v>
      </c>
      <c r="F142" s="72" t="s">
        <v>4</v>
      </c>
      <c r="G142" s="72" t="s">
        <v>5</v>
      </c>
      <c r="H142" s="72" t="s">
        <v>6</v>
      </c>
      <c r="I142" s="72" t="s">
        <v>7</v>
      </c>
      <c r="J142" s="72" t="s">
        <v>8</v>
      </c>
      <c r="K142" s="72" t="s">
        <v>9</v>
      </c>
      <c r="L142" s="72" t="s">
        <v>10</v>
      </c>
      <c r="M142" s="72" t="s">
        <v>11</v>
      </c>
      <c r="N142" s="72" t="s">
        <v>12</v>
      </c>
      <c r="O142" s="72" t="s">
        <v>13</v>
      </c>
    </row>
    <row r="143" spans="2:15" ht="14" customHeight="1" x14ac:dyDescent="0.35">
      <c r="B143" s="31" t="s">
        <v>105</v>
      </c>
      <c r="C143" s="51">
        <v>1286</v>
      </c>
      <c r="D143" s="51">
        <v>1949</v>
      </c>
      <c r="E143" s="51">
        <v>4047</v>
      </c>
      <c r="F143" s="51">
        <v>1894</v>
      </c>
      <c r="G143" s="51">
        <v>2018</v>
      </c>
      <c r="H143" s="51">
        <v>3166</v>
      </c>
      <c r="I143" s="51">
        <v>1734</v>
      </c>
      <c r="J143" s="51">
        <v>1604</v>
      </c>
      <c r="K143" s="51">
        <v>2614</v>
      </c>
      <c r="L143" s="51">
        <v>2861</v>
      </c>
      <c r="M143" s="51">
        <v>3541</v>
      </c>
      <c r="N143" s="51">
        <v>4355</v>
      </c>
      <c r="O143" s="51">
        <f>SUM(C143:N143)</f>
        <v>31069</v>
      </c>
    </row>
    <row r="144" spans="2:15" ht="14" customHeight="1" x14ac:dyDescent="0.35">
      <c r="B144" s="31" t="s">
        <v>15</v>
      </c>
      <c r="C144" s="73">
        <v>1045</v>
      </c>
      <c r="D144" s="73">
        <v>1189</v>
      </c>
      <c r="E144" s="73">
        <v>1326</v>
      </c>
      <c r="F144" s="73">
        <v>939</v>
      </c>
      <c r="G144" s="73">
        <v>1081</v>
      </c>
      <c r="H144" s="73">
        <v>1501</v>
      </c>
      <c r="I144" s="73">
        <v>1155</v>
      </c>
      <c r="J144" s="73">
        <v>1478</v>
      </c>
      <c r="K144" s="73">
        <v>1118</v>
      </c>
      <c r="L144" s="73">
        <v>1026</v>
      </c>
      <c r="M144" s="73">
        <v>1366</v>
      </c>
      <c r="N144" s="73">
        <v>1338</v>
      </c>
      <c r="O144" s="73">
        <f>SUM(C144:N144)</f>
        <v>14562</v>
      </c>
    </row>
    <row r="145" spans="2:15" ht="14" customHeight="1" x14ac:dyDescent="0.35">
      <c r="B145" s="31" t="s">
        <v>16</v>
      </c>
      <c r="C145" s="51">
        <f>SUM(C143:C144)</f>
        <v>2331</v>
      </c>
      <c r="D145" s="51">
        <f t="shared" ref="D145:O145" si="18">SUM(D143:D144)</f>
        <v>3138</v>
      </c>
      <c r="E145" s="51">
        <f t="shared" si="18"/>
        <v>5373</v>
      </c>
      <c r="F145" s="51">
        <f t="shared" si="18"/>
        <v>2833</v>
      </c>
      <c r="G145" s="51">
        <f t="shared" si="18"/>
        <v>3099</v>
      </c>
      <c r="H145" s="51">
        <f t="shared" si="18"/>
        <v>4667</v>
      </c>
      <c r="I145" s="51">
        <f t="shared" si="18"/>
        <v>2889</v>
      </c>
      <c r="J145" s="51">
        <f t="shared" si="18"/>
        <v>3082</v>
      </c>
      <c r="K145" s="51">
        <f t="shared" si="18"/>
        <v>3732</v>
      </c>
      <c r="L145" s="51">
        <f t="shared" si="18"/>
        <v>3887</v>
      </c>
      <c r="M145" s="51">
        <f t="shared" si="18"/>
        <v>4907</v>
      </c>
      <c r="N145" s="51">
        <f t="shared" si="18"/>
        <v>5693</v>
      </c>
      <c r="O145" s="51">
        <f t="shared" si="18"/>
        <v>45631</v>
      </c>
    </row>
    <row r="147" spans="2:15" ht="14" customHeight="1" x14ac:dyDescent="0.35">
      <c r="B147" s="27" t="s">
        <v>17</v>
      </c>
      <c r="C147" s="72" t="s">
        <v>1</v>
      </c>
      <c r="D147" s="72" t="s">
        <v>2</v>
      </c>
      <c r="E147" s="72" t="s">
        <v>3</v>
      </c>
      <c r="F147" s="72" t="s">
        <v>4</v>
      </c>
      <c r="G147" s="72" t="s">
        <v>5</v>
      </c>
      <c r="H147" s="72" t="s">
        <v>6</v>
      </c>
      <c r="I147" s="72" t="s">
        <v>7</v>
      </c>
      <c r="J147" s="72" t="s">
        <v>8</v>
      </c>
      <c r="K147" s="72" t="s">
        <v>9</v>
      </c>
      <c r="L147" s="72" t="s">
        <v>10</v>
      </c>
      <c r="M147" s="72" t="s">
        <v>11</v>
      </c>
      <c r="N147" s="72" t="s">
        <v>12</v>
      </c>
      <c r="O147" s="72" t="s">
        <v>22</v>
      </c>
    </row>
    <row r="148" spans="2:15" ht="14" customHeight="1" x14ac:dyDescent="0.35">
      <c r="B148" s="30" t="s">
        <v>103</v>
      </c>
      <c r="C148" s="147">
        <f>Assumptions!$E$48</f>
        <v>1.08</v>
      </c>
      <c r="D148" s="147">
        <f>Assumptions!$E$48</f>
        <v>1.08</v>
      </c>
      <c r="E148" s="147">
        <f>Assumptions!$E$48</f>
        <v>1.08</v>
      </c>
      <c r="F148" s="147">
        <f>Assumptions!$E$48</f>
        <v>1.08</v>
      </c>
      <c r="G148" s="147">
        <f>Assumptions!$E$48</f>
        <v>1.08</v>
      </c>
      <c r="H148" s="147">
        <f>Assumptions!$E$48</f>
        <v>1.08</v>
      </c>
      <c r="I148" s="147">
        <f>Assumptions!$E$48</f>
        <v>1.08</v>
      </c>
      <c r="J148" s="147">
        <f>Assumptions!$E$48</f>
        <v>1.08</v>
      </c>
      <c r="K148" s="147">
        <f>Assumptions!$E$48</f>
        <v>1.08</v>
      </c>
      <c r="L148" s="147">
        <f>Assumptions!$E$48</f>
        <v>1.08</v>
      </c>
      <c r="M148" s="147">
        <f>Assumptions!$E$48</f>
        <v>1.08</v>
      </c>
      <c r="N148" s="147">
        <f>Assumptions!$E$48</f>
        <v>1.08</v>
      </c>
      <c r="O148" s="32"/>
    </row>
    <row r="149" spans="2:15" ht="14" customHeight="1" x14ac:dyDescent="0.35">
      <c r="B149" s="126" t="s">
        <v>110</v>
      </c>
      <c r="C149" s="147">
        <f>Assumptions!$E$49</f>
        <v>0.68</v>
      </c>
      <c r="D149" s="147">
        <f>Assumptions!$E$49</f>
        <v>0.68</v>
      </c>
      <c r="E149" s="147">
        <f>Assumptions!$E$49</f>
        <v>0.68</v>
      </c>
      <c r="F149" s="147">
        <f>Assumptions!$E$49</f>
        <v>0.68</v>
      </c>
      <c r="G149" s="147">
        <f>Assumptions!$E$49</f>
        <v>0.68</v>
      </c>
      <c r="H149" s="147">
        <f>Assumptions!$E$49</f>
        <v>0.68</v>
      </c>
      <c r="I149" s="147">
        <f>Assumptions!$E$49</f>
        <v>0.68</v>
      </c>
      <c r="J149" s="147">
        <f>Assumptions!$E$49</f>
        <v>0.68</v>
      </c>
      <c r="K149" s="147">
        <f>Assumptions!$E$49</f>
        <v>0.68</v>
      </c>
      <c r="L149" s="147">
        <f>Assumptions!$E$49</f>
        <v>0.68</v>
      </c>
      <c r="M149" s="147">
        <f>Assumptions!$E$49</f>
        <v>0.68</v>
      </c>
      <c r="N149" s="147">
        <f>Assumptions!$E$49</f>
        <v>0.68</v>
      </c>
      <c r="O149" s="32"/>
    </row>
    <row r="150" spans="2:15" ht="14" customHeight="1" x14ac:dyDescent="0.35">
      <c r="B150" s="126" t="s">
        <v>109</v>
      </c>
      <c r="C150" s="147">
        <f>Assumptions!$E$50</f>
        <v>0.32</v>
      </c>
      <c r="D150" s="147">
        <f>Assumptions!$E$50</f>
        <v>0.32</v>
      </c>
      <c r="E150" s="147">
        <f>Assumptions!$E$50</f>
        <v>0.32</v>
      </c>
      <c r="F150" s="147">
        <f>Assumptions!$E$50</f>
        <v>0.32</v>
      </c>
      <c r="G150" s="147">
        <f>Assumptions!$E$50</f>
        <v>0.32</v>
      </c>
      <c r="H150" s="147">
        <f>Assumptions!$E$50</f>
        <v>0.32</v>
      </c>
      <c r="I150" s="147">
        <f>Assumptions!$E$50</f>
        <v>0.32</v>
      </c>
      <c r="J150" s="147">
        <f>Assumptions!$E$50</f>
        <v>0.32</v>
      </c>
      <c r="K150" s="147">
        <f>Assumptions!$E$50</f>
        <v>0.32</v>
      </c>
      <c r="L150" s="147">
        <f>Assumptions!$E$50</f>
        <v>0.32</v>
      </c>
      <c r="M150" s="147">
        <f>Assumptions!$E$50</f>
        <v>0.32</v>
      </c>
      <c r="N150" s="147">
        <f>Assumptions!$E$50</f>
        <v>0.32</v>
      </c>
      <c r="O150" s="32"/>
    </row>
    <row r="151" spans="2:15" ht="14" customHeight="1" x14ac:dyDescent="0.35">
      <c r="B151" s="31" t="s">
        <v>105</v>
      </c>
      <c r="C151" s="73">
        <f>C149*C153</f>
        <v>1711.8864000000001</v>
      </c>
      <c r="D151" s="73">
        <f t="shared" ref="D151:N151" si="19">D149*D153</f>
        <v>2304.5472000000004</v>
      </c>
      <c r="E151" s="73">
        <f t="shared" si="19"/>
        <v>3945.9312000000004</v>
      </c>
      <c r="F151" s="73">
        <f t="shared" si="19"/>
        <v>2080.5552000000002</v>
      </c>
      <c r="G151" s="73">
        <f t="shared" si="19"/>
        <v>2275.9056</v>
      </c>
      <c r="H151" s="73">
        <f t="shared" si="19"/>
        <v>3427.4448000000007</v>
      </c>
      <c r="I151" s="73">
        <f t="shared" si="19"/>
        <v>2121.6816000000003</v>
      </c>
      <c r="J151" s="73">
        <f t="shared" si="19"/>
        <v>2263.4208000000003</v>
      </c>
      <c r="K151" s="73">
        <f t="shared" si="19"/>
        <v>2740.7808000000005</v>
      </c>
      <c r="L151" s="73">
        <f t="shared" si="19"/>
        <v>2854.6128000000003</v>
      </c>
      <c r="M151" s="73">
        <f t="shared" si="19"/>
        <v>3603.7008000000005</v>
      </c>
      <c r="N151" s="73">
        <f t="shared" si="19"/>
        <v>4180.9392000000007</v>
      </c>
      <c r="O151" s="73">
        <f>SUM(C151:N151)</f>
        <v>33511.406400000007</v>
      </c>
    </row>
    <row r="152" spans="2:15" ht="14" customHeight="1" x14ac:dyDescent="0.35">
      <c r="B152" s="31" t="s">
        <v>15</v>
      </c>
      <c r="C152" s="51">
        <f>C150*C153</f>
        <v>805.59360000000004</v>
      </c>
      <c r="D152" s="51">
        <f t="shared" ref="D152:N152" si="20">D150*D153</f>
        <v>1084.4928000000002</v>
      </c>
      <c r="E152" s="51">
        <f t="shared" si="20"/>
        <v>1856.9088000000002</v>
      </c>
      <c r="F152" s="51">
        <f t="shared" si="20"/>
        <v>979.08480000000009</v>
      </c>
      <c r="G152" s="51">
        <f t="shared" si="20"/>
        <v>1071.0144</v>
      </c>
      <c r="H152" s="51">
        <f t="shared" si="20"/>
        <v>1612.9152000000001</v>
      </c>
      <c r="I152" s="51">
        <f t="shared" si="20"/>
        <v>998.43840000000012</v>
      </c>
      <c r="J152" s="51">
        <f t="shared" si="20"/>
        <v>1065.1392000000001</v>
      </c>
      <c r="K152" s="51">
        <f t="shared" si="20"/>
        <v>1289.7792000000002</v>
      </c>
      <c r="L152" s="51">
        <f t="shared" si="20"/>
        <v>1343.3471999999999</v>
      </c>
      <c r="M152" s="51">
        <f t="shared" si="20"/>
        <v>1695.8592000000001</v>
      </c>
      <c r="N152" s="51">
        <f t="shared" si="20"/>
        <v>1967.5008000000003</v>
      </c>
      <c r="O152" s="51">
        <f>SUM(C152:N152)</f>
        <v>15770.073600000002</v>
      </c>
    </row>
    <row r="153" spans="2:15" ht="14" customHeight="1" x14ac:dyDescent="0.35">
      <c r="B153" s="31" t="s">
        <v>16</v>
      </c>
      <c r="C153" s="73">
        <f t="shared" ref="C153:N153" si="21">C148*C145</f>
        <v>2517.48</v>
      </c>
      <c r="D153" s="73">
        <f t="shared" si="21"/>
        <v>3389.0400000000004</v>
      </c>
      <c r="E153" s="73">
        <f t="shared" si="21"/>
        <v>5802.84</v>
      </c>
      <c r="F153" s="73">
        <f t="shared" si="21"/>
        <v>3059.6400000000003</v>
      </c>
      <c r="G153" s="73">
        <f t="shared" si="21"/>
        <v>3346.92</v>
      </c>
      <c r="H153" s="73">
        <f t="shared" si="21"/>
        <v>5040.3600000000006</v>
      </c>
      <c r="I153" s="73">
        <f t="shared" si="21"/>
        <v>3120.1200000000003</v>
      </c>
      <c r="J153" s="73">
        <f t="shared" si="21"/>
        <v>3328.5600000000004</v>
      </c>
      <c r="K153" s="73">
        <f t="shared" si="21"/>
        <v>4030.5600000000004</v>
      </c>
      <c r="L153" s="73">
        <f t="shared" si="21"/>
        <v>4197.96</v>
      </c>
      <c r="M153" s="73">
        <f t="shared" si="21"/>
        <v>5299.56</v>
      </c>
      <c r="N153" s="73">
        <f t="shared" si="21"/>
        <v>6148.4400000000005</v>
      </c>
      <c r="O153" s="73">
        <f>SUM(C153:N153)</f>
        <v>49281.479999999996</v>
      </c>
    </row>
    <row r="154" spans="2:15" ht="14" customHeight="1" x14ac:dyDescent="0.35">
      <c r="B154" s="32" t="s">
        <v>113</v>
      </c>
      <c r="C154" s="51">
        <f>C153*Assumptions!$E$52</f>
        <v>1258.74</v>
      </c>
      <c r="D154" s="51">
        <f>D153*Assumptions!$E$52</f>
        <v>1694.5200000000002</v>
      </c>
      <c r="E154" s="51">
        <f>E153*Assumptions!$E$52</f>
        <v>2901.42</v>
      </c>
      <c r="F154" s="51">
        <f>F153*Assumptions!$E$52</f>
        <v>1529.8200000000002</v>
      </c>
      <c r="G154" s="51">
        <f>G153*Assumptions!$E$52</f>
        <v>1673.46</v>
      </c>
      <c r="H154" s="51">
        <f>H153*Assumptions!$E$52</f>
        <v>2520.1800000000003</v>
      </c>
      <c r="I154" s="51">
        <f>I153*Assumptions!$E$52</f>
        <v>1560.0600000000002</v>
      </c>
      <c r="J154" s="51">
        <f>J153*Assumptions!$E$52</f>
        <v>1664.2800000000002</v>
      </c>
      <c r="K154" s="51">
        <f>K153*Assumptions!$E$52</f>
        <v>2015.2800000000002</v>
      </c>
      <c r="L154" s="51">
        <f>L153*Assumptions!$E$52</f>
        <v>2098.98</v>
      </c>
      <c r="M154" s="51">
        <f>M153*Assumptions!$E$52</f>
        <v>2649.78</v>
      </c>
      <c r="N154" s="51">
        <f>N153*Assumptions!$E$52</f>
        <v>3074.2200000000003</v>
      </c>
      <c r="O154" s="51">
        <f>SUM(C154:N154)</f>
        <v>24640.739999999998</v>
      </c>
    </row>
    <row r="155" spans="2:15" ht="14" customHeight="1" x14ac:dyDescent="0.35">
      <c r="B155" s="32" t="s">
        <v>32</v>
      </c>
      <c r="C155" s="74">
        <f>C154*Assumptions!$E$54</f>
        <v>0</v>
      </c>
      <c r="D155" s="74">
        <f>D154*Assumptions!$E$54</f>
        <v>0</v>
      </c>
      <c r="E155" s="74">
        <f>E154*Assumptions!$E$54</f>
        <v>0</v>
      </c>
      <c r="F155" s="74">
        <f>F154*Assumptions!$E$54</f>
        <v>0</v>
      </c>
      <c r="G155" s="74">
        <f>G154*Assumptions!$E$54</f>
        <v>0</v>
      </c>
      <c r="H155" s="74">
        <f>H154*Assumptions!$E$54</f>
        <v>0</v>
      </c>
      <c r="I155" s="74">
        <f>I154*Assumptions!$E$54</f>
        <v>0</v>
      </c>
      <c r="J155" s="74">
        <f>J154*Assumptions!$E$54</f>
        <v>0</v>
      </c>
      <c r="K155" s="74">
        <f>K154*Assumptions!$E$54</f>
        <v>0</v>
      </c>
      <c r="L155" s="74">
        <f>L154*Assumptions!$E$54</f>
        <v>0</v>
      </c>
      <c r="M155" s="74">
        <f>M154*Assumptions!$E$54</f>
        <v>0</v>
      </c>
      <c r="N155" s="74">
        <f>N154*Assumptions!$E$54</f>
        <v>0</v>
      </c>
      <c r="O155" s="75">
        <f>SUM(C155:N155)</f>
        <v>0</v>
      </c>
    </row>
    <row r="156" spans="2:15" ht="14" customHeight="1" x14ac:dyDescent="0.35">
      <c r="B156" s="32"/>
      <c r="O156" s="56"/>
    </row>
    <row r="157" spans="2:15" ht="14" customHeight="1" x14ac:dyDescent="0.35">
      <c r="B157" s="27" t="s">
        <v>35</v>
      </c>
      <c r="C157" s="72" t="s">
        <v>1</v>
      </c>
      <c r="D157" s="72" t="s">
        <v>2</v>
      </c>
      <c r="E157" s="72" t="s">
        <v>3</v>
      </c>
      <c r="F157" s="72" t="s">
        <v>4</v>
      </c>
      <c r="G157" s="72" t="s">
        <v>5</v>
      </c>
      <c r="H157" s="72" t="s">
        <v>6</v>
      </c>
      <c r="I157" s="72" t="s">
        <v>7</v>
      </c>
      <c r="J157" s="72" t="s">
        <v>8</v>
      </c>
      <c r="K157" s="150" t="s">
        <v>9</v>
      </c>
      <c r="L157" s="72" t="s">
        <v>10</v>
      </c>
      <c r="M157" s="72" t="s">
        <v>11</v>
      </c>
      <c r="N157" s="72" t="s">
        <v>12</v>
      </c>
      <c r="O157" s="72" t="s">
        <v>115</v>
      </c>
    </row>
    <row r="158" spans="2:15" ht="14" customHeight="1" x14ac:dyDescent="0.35">
      <c r="B158" s="30" t="s">
        <v>103</v>
      </c>
      <c r="C158" s="53">
        <f>Assumptions!$F$48</f>
        <v>1.2</v>
      </c>
      <c r="D158" s="53">
        <f>Assumptions!$F$48</f>
        <v>1.2</v>
      </c>
      <c r="E158" s="53">
        <f>Assumptions!$F$48</f>
        <v>1.2</v>
      </c>
      <c r="F158" s="53">
        <f>Assumptions!$F$48</f>
        <v>1.2</v>
      </c>
      <c r="G158" s="53">
        <f>Assumptions!$F$48</f>
        <v>1.2</v>
      </c>
      <c r="H158" s="53">
        <f>Assumptions!$F$48</f>
        <v>1.2</v>
      </c>
      <c r="I158" s="53">
        <f>Assumptions!$F$48</f>
        <v>1.2</v>
      </c>
      <c r="J158" s="53">
        <f>Assumptions!$F$48</f>
        <v>1.2</v>
      </c>
      <c r="K158" s="135">
        <f>Assumptions!$F$48</f>
        <v>1.2</v>
      </c>
      <c r="L158" s="53">
        <f>Assumptions!$F$48</f>
        <v>1.2</v>
      </c>
      <c r="M158" s="53">
        <f>Assumptions!$F$48</f>
        <v>1.2</v>
      </c>
      <c r="N158" s="53">
        <f>Assumptions!$F$48</f>
        <v>1.2</v>
      </c>
      <c r="O158" s="32"/>
    </row>
    <row r="159" spans="2:15" ht="14" customHeight="1" x14ac:dyDescent="0.35">
      <c r="B159" s="126" t="s">
        <v>110</v>
      </c>
      <c r="C159" s="53">
        <f>Assumptions!$F$49</f>
        <v>0.68</v>
      </c>
      <c r="D159" s="53">
        <f>Assumptions!$F$49</f>
        <v>0.68</v>
      </c>
      <c r="E159" s="53">
        <f>Assumptions!$F$49</f>
        <v>0.68</v>
      </c>
      <c r="F159" s="53">
        <f>Assumptions!$F$49</f>
        <v>0.68</v>
      </c>
      <c r="G159" s="53">
        <f>Assumptions!$F$49</f>
        <v>0.68</v>
      </c>
      <c r="H159" s="53">
        <f>Assumptions!$F$49</f>
        <v>0.68</v>
      </c>
      <c r="I159" s="53">
        <f>Assumptions!$F$49</f>
        <v>0.68</v>
      </c>
      <c r="J159" s="53">
        <f>Assumptions!$F$49</f>
        <v>0.68</v>
      </c>
      <c r="K159" s="135">
        <f>Assumptions!$F$49</f>
        <v>0.68</v>
      </c>
      <c r="L159" s="53">
        <f>Assumptions!$F$49</f>
        <v>0.68</v>
      </c>
      <c r="M159" s="53">
        <f>Assumptions!$F$49</f>
        <v>0.68</v>
      </c>
      <c r="N159" s="53">
        <f>Assumptions!$F$49</f>
        <v>0.68</v>
      </c>
      <c r="O159" s="32"/>
    </row>
    <row r="160" spans="2:15" ht="14" customHeight="1" x14ac:dyDescent="0.35">
      <c r="B160" s="126" t="s">
        <v>109</v>
      </c>
      <c r="C160" s="53">
        <f>Assumptions!$F$50</f>
        <v>0.32</v>
      </c>
      <c r="D160" s="53">
        <f>Assumptions!$F$50</f>
        <v>0.32</v>
      </c>
      <c r="E160" s="53">
        <f>Assumptions!$F$50</f>
        <v>0.32</v>
      </c>
      <c r="F160" s="53">
        <f>Assumptions!$F$50</f>
        <v>0.32</v>
      </c>
      <c r="G160" s="53">
        <f>Assumptions!$F$50</f>
        <v>0.32</v>
      </c>
      <c r="H160" s="53">
        <f>Assumptions!$F$50</f>
        <v>0.32</v>
      </c>
      <c r="I160" s="53">
        <f>Assumptions!$F$50</f>
        <v>0.32</v>
      </c>
      <c r="J160" s="53">
        <f>Assumptions!$F$50</f>
        <v>0.32</v>
      </c>
      <c r="K160" s="135">
        <f>Assumptions!$F$50</f>
        <v>0.32</v>
      </c>
      <c r="L160" s="53">
        <f>Assumptions!$F$50</f>
        <v>0.32</v>
      </c>
      <c r="M160" s="53">
        <f>Assumptions!$F$50</f>
        <v>0.32</v>
      </c>
      <c r="N160" s="53">
        <f>Assumptions!$F$50</f>
        <v>0.32</v>
      </c>
      <c r="O160" s="32"/>
    </row>
    <row r="161" spans="2:15" ht="14" customHeight="1" x14ac:dyDescent="0.35">
      <c r="B161" s="31" t="s">
        <v>120</v>
      </c>
      <c r="C161" s="73">
        <f>C159*C163</f>
        <v>2054.26368</v>
      </c>
      <c r="D161" s="73">
        <f t="shared" ref="D161:N161" si="22">D159*D163</f>
        <v>2765.4566400000003</v>
      </c>
      <c r="E161" s="73">
        <f t="shared" si="22"/>
        <v>4735.1174400000009</v>
      </c>
      <c r="F161" s="73">
        <f t="shared" si="22"/>
        <v>2496.6662400000005</v>
      </c>
      <c r="G161" s="73">
        <f t="shared" si="22"/>
        <v>2731.0867200000002</v>
      </c>
      <c r="H161" s="73">
        <f t="shared" si="22"/>
        <v>4112.9337600000008</v>
      </c>
      <c r="I161" s="73">
        <f t="shared" si="22"/>
        <v>2546.0179200000002</v>
      </c>
      <c r="J161" s="73">
        <f t="shared" si="22"/>
        <v>2716.1049600000006</v>
      </c>
      <c r="K161" s="133">
        <f t="shared" si="22"/>
        <v>3288.9369600000005</v>
      </c>
      <c r="L161" s="73">
        <f t="shared" si="22"/>
        <v>3425.5353599999999</v>
      </c>
      <c r="M161" s="73">
        <f t="shared" si="22"/>
        <v>4324.4409600000008</v>
      </c>
      <c r="N161" s="73">
        <f t="shared" si="22"/>
        <v>5017.1270400000012</v>
      </c>
      <c r="O161" s="73">
        <f>SUM(C161:N161)</f>
        <v>40213.687680000003</v>
      </c>
    </row>
    <row r="162" spans="2:15" ht="14" customHeight="1" x14ac:dyDescent="0.35">
      <c r="B162" s="31" t="s">
        <v>15</v>
      </c>
      <c r="C162" s="51">
        <f>C160*C163</f>
        <v>966.71232000000009</v>
      </c>
      <c r="D162" s="51">
        <f t="shared" ref="D162:N162" si="23">D160*D163</f>
        <v>1301.3913600000001</v>
      </c>
      <c r="E162" s="51">
        <f t="shared" si="23"/>
        <v>2228.2905600000004</v>
      </c>
      <c r="F162" s="51">
        <f t="shared" si="23"/>
        <v>1174.9017600000002</v>
      </c>
      <c r="G162" s="51">
        <f t="shared" si="23"/>
        <v>1285.2172800000001</v>
      </c>
      <c r="H162" s="51">
        <f t="shared" si="23"/>
        <v>1935.4982400000004</v>
      </c>
      <c r="I162" s="51">
        <f t="shared" si="23"/>
        <v>1198.12608</v>
      </c>
      <c r="J162" s="51">
        <f t="shared" si="23"/>
        <v>1278.16704</v>
      </c>
      <c r="K162" s="133">
        <f t="shared" si="23"/>
        <v>1547.7350400000003</v>
      </c>
      <c r="L162" s="51">
        <f t="shared" si="23"/>
        <v>1612.0166399999998</v>
      </c>
      <c r="M162" s="51">
        <f t="shared" si="23"/>
        <v>2035.0310400000003</v>
      </c>
      <c r="N162" s="51">
        <f t="shared" si="23"/>
        <v>2361.0009600000003</v>
      </c>
      <c r="O162" s="51">
        <f>SUM(C162:N162)</f>
        <v>18924.088320000003</v>
      </c>
    </row>
    <row r="163" spans="2:15" ht="14" customHeight="1" x14ac:dyDescent="0.35">
      <c r="B163" s="31" t="s">
        <v>16</v>
      </c>
      <c r="C163" s="73">
        <f>C158*C153</f>
        <v>3020.9760000000001</v>
      </c>
      <c r="D163" s="73">
        <f>D158*D153</f>
        <v>4066.8480000000004</v>
      </c>
      <c r="E163" s="73">
        <f t="shared" ref="E163:N163" si="24">E158*E153</f>
        <v>6963.4080000000004</v>
      </c>
      <c r="F163" s="73">
        <f t="shared" si="24"/>
        <v>3671.5680000000002</v>
      </c>
      <c r="G163" s="73">
        <f t="shared" si="24"/>
        <v>4016.3040000000001</v>
      </c>
      <c r="H163" s="73">
        <f t="shared" si="24"/>
        <v>6048.4320000000007</v>
      </c>
      <c r="I163" s="73">
        <f t="shared" si="24"/>
        <v>3744.1440000000002</v>
      </c>
      <c r="J163" s="73">
        <f t="shared" si="24"/>
        <v>3994.2720000000004</v>
      </c>
      <c r="K163" s="133">
        <f t="shared" si="24"/>
        <v>4836.6720000000005</v>
      </c>
      <c r="L163" s="73">
        <f t="shared" si="24"/>
        <v>5037.5519999999997</v>
      </c>
      <c r="M163" s="73">
        <f t="shared" si="24"/>
        <v>6359.4720000000007</v>
      </c>
      <c r="N163" s="73">
        <f t="shared" si="24"/>
        <v>7378.1280000000006</v>
      </c>
      <c r="O163" s="73">
        <f>SUM(C163:N163)</f>
        <v>59137.775999999998</v>
      </c>
    </row>
    <row r="164" spans="2:15" ht="14" customHeight="1" x14ac:dyDescent="0.35">
      <c r="B164" s="32" t="s">
        <v>113</v>
      </c>
      <c r="C164" s="51">
        <f>C163*Assumptions!$G$52</f>
        <v>1510.4880000000001</v>
      </c>
      <c r="D164" s="51">
        <f>D163*Assumptions!$G$52</f>
        <v>2033.4240000000002</v>
      </c>
      <c r="E164" s="51">
        <f>E163*Assumptions!$G$52</f>
        <v>3481.7040000000002</v>
      </c>
      <c r="F164" s="51">
        <f>F163*Assumptions!$G$52</f>
        <v>1835.7840000000001</v>
      </c>
      <c r="G164" s="51">
        <f>G163*Assumptions!$G$52</f>
        <v>2008.152</v>
      </c>
      <c r="H164" s="51">
        <f>H163*Assumptions!$G$52</f>
        <v>3024.2160000000003</v>
      </c>
      <c r="I164" s="51">
        <f>I163*Assumptions!$G$52</f>
        <v>1872.0720000000001</v>
      </c>
      <c r="J164" s="51">
        <f>J163*Assumptions!$G$52</f>
        <v>1997.1360000000002</v>
      </c>
      <c r="K164" s="133">
        <f>K163*Assumptions!$G$52</f>
        <v>2418.3360000000002</v>
      </c>
      <c r="L164" s="51">
        <f>L163*Assumptions!$G$52</f>
        <v>2518.7759999999998</v>
      </c>
      <c r="M164" s="51">
        <f>M163*Assumptions!$G$52</f>
        <v>3179.7360000000003</v>
      </c>
      <c r="N164" s="51">
        <f>N163*Assumptions!$G$52</f>
        <v>3689.0640000000003</v>
      </c>
      <c r="O164" s="51">
        <f>SUM(C164:N164)</f>
        <v>29568.887999999999</v>
      </c>
    </row>
    <row r="165" spans="2:15" ht="14" customHeight="1" x14ac:dyDescent="0.35">
      <c r="B165" s="32" t="s">
        <v>32</v>
      </c>
      <c r="C165" s="148">
        <v>0</v>
      </c>
      <c r="D165" s="148">
        <v>0</v>
      </c>
      <c r="E165" s="148">
        <v>0</v>
      </c>
      <c r="F165" s="148">
        <v>0</v>
      </c>
      <c r="G165" s="148">
        <v>0</v>
      </c>
      <c r="H165" s="148">
        <v>0</v>
      </c>
      <c r="I165" s="148">
        <v>0</v>
      </c>
      <c r="J165" s="148">
        <v>0</v>
      </c>
      <c r="K165" s="151">
        <f>K164*Assumptions!$F$54</f>
        <v>0</v>
      </c>
      <c r="L165" s="148">
        <f>L164*Assumptions!$F$54</f>
        <v>0</v>
      </c>
      <c r="M165" s="148">
        <f>M164*Assumptions!$F$54</f>
        <v>0</v>
      </c>
      <c r="N165" s="148">
        <f>N164*Assumptions!$F$54</f>
        <v>0</v>
      </c>
      <c r="O165" s="149">
        <f>SUM(C165:N165)</f>
        <v>0</v>
      </c>
    </row>
    <row r="166" spans="2:15" ht="14" customHeight="1" x14ac:dyDescent="0.35">
      <c r="B166" s="32"/>
      <c r="O166" s="56"/>
    </row>
    <row r="167" spans="2:15" ht="14" customHeight="1" x14ac:dyDescent="0.35">
      <c r="B167" s="32"/>
      <c r="O167" s="56"/>
    </row>
    <row r="168" spans="2:15" ht="14" customHeight="1" x14ac:dyDescent="0.35">
      <c r="B168" s="32"/>
      <c r="O168" s="56"/>
    </row>
    <row r="170" spans="2:15" ht="14" customHeight="1" x14ac:dyDescent="0.35">
      <c r="B170" s="27" t="s">
        <v>47</v>
      </c>
      <c r="C170" s="72">
        <v>2019</v>
      </c>
      <c r="D170" s="150">
        <v>2020</v>
      </c>
      <c r="E170" s="72">
        <v>2021</v>
      </c>
      <c r="F170" s="72">
        <v>2022</v>
      </c>
      <c r="G170" s="72">
        <v>2023</v>
      </c>
      <c r="H170" s="72" t="s">
        <v>19</v>
      </c>
    </row>
    <row r="171" spans="2:15" ht="14" customHeight="1" x14ac:dyDescent="0.35">
      <c r="B171" s="31" t="s">
        <v>120</v>
      </c>
      <c r="C171" s="76">
        <f>O151</f>
        <v>33511.406400000007</v>
      </c>
      <c r="D171" s="133">
        <f>O161</f>
        <v>40213.687680000003</v>
      </c>
      <c r="E171" s="73">
        <f>E173*Assumptions!G49</f>
        <v>56299.162751999997</v>
      </c>
      <c r="F171" s="73">
        <f>F173*Assumptions!H49</f>
        <v>112598.32550399999</v>
      </c>
      <c r="G171" s="73">
        <f>G173*Assumptions!I49</f>
        <v>225196.65100799999</v>
      </c>
      <c r="H171" s="73">
        <f>SUM(D171:G171)</f>
        <v>434307.82694399997</v>
      </c>
    </row>
    <row r="172" spans="2:15" ht="14" customHeight="1" x14ac:dyDescent="0.35">
      <c r="B172" s="31" t="s">
        <v>15</v>
      </c>
      <c r="C172" s="76">
        <f>O152</f>
        <v>15770.073600000002</v>
      </c>
      <c r="D172" s="133">
        <f>O162</f>
        <v>18924.088320000003</v>
      </c>
      <c r="E172" s="51">
        <f>E173*Assumptions!G50</f>
        <v>26493.723647999996</v>
      </c>
      <c r="F172" s="51">
        <f>F173*Assumptions!H50</f>
        <v>52987.447295999991</v>
      </c>
      <c r="G172" s="51">
        <f>G173*Assumptions!I50</f>
        <v>105974.89459199998</v>
      </c>
      <c r="H172" s="51">
        <f>SUM(D172:G172)</f>
        <v>204380.15385599999</v>
      </c>
    </row>
    <row r="173" spans="2:15" ht="14" customHeight="1" x14ac:dyDescent="0.35">
      <c r="B173" s="31" t="s">
        <v>16</v>
      </c>
      <c r="C173" s="76">
        <f>O153</f>
        <v>49281.479999999996</v>
      </c>
      <c r="D173" s="133">
        <f>O163</f>
        <v>59137.775999999998</v>
      </c>
      <c r="E173" s="73">
        <f>D173*Assumptions!G48</f>
        <v>82792.886399999988</v>
      </c>
      <c r="F173" s="73">
        <f>E173*Assumptions!H48</f>
        <v>165585.77279999998</v>
      </c>
      <c r="G173" s="73">
        <f>F173*Assumptions!I48</f>
        <v>331171.54559999995</v>
      </c>
      <c r="H173" s="73">
        <f>SUM(D173:G173)</f>
        <v>638687.9807999999</v>
      </c>
    </row>
    <row r="174" spans="2:15" ht="14" customHeight="1" x14ac:dyDescent="0.35">
      <c r="B174" s="32" t="s">
        <v>113</v>
      </c>
      <c r="C174" s="76">
        <f>O154</f>
        <v>24640.739999999998</v>
      </c>
      <c r="D174" s="133">
        <f>O164</f>
        <v>29568.887999999999</v>
      </c>
      <c r="E174" s="51">
        <f>E173*0.5</f>
        <v>41396.443199999994</v>
      </c>
      <c r="F174" s="51">
        <f>F173*0.5</f>
        <v>82792.886399999988</v>
      </c>
      <c r="G174" s="51">
        <f>G173*0.5</f>
        <v>165585.77279999998</v>
      </c>
      <c r="H174" s="51">
        <f>SUM(D174:G174)</f>
        <v>319343.99039999995</v>
      </c>
    </row>
    <row r="175" spans="2:15" ht="14" customHeight="1" x14ac:dyDescent="0.35">
      <c r="B175" s="32" t="s">
        <v>32</v>
      </c>
      <c r="C175" s="77">
        <f>O155</f>
        <v>0</v>
      </c>
      <c r="D175" s="133">
        <f>O165</f>
        <v>0</v>
      </c>
      <c r="E175" s="148">
        <f>E174*Assumptions!G54</f>
        <v>413.96443199999993</v>
      </c>
      <c r="F175" s="148">
        <f>F174*Assumptions!H54</f>
        <v>2483.7865919999995</v>
      </c>
      <c r="G175" s="148">
        <f>G174*Assumptions!I54</f>
        <v>8279.2886399999988</v>
      </c>
      <c r="H175" s="152">
        <f>SUM(D175:G175)</f>
        <v>11177.039663999998</v>
      </c>
    </row>
    <row r="190" spans="2:15" ht="14" customHeight="1" thickBot="1" x14ac:dyDescent="0.4"/>
    <row r="191" spans="2:15" ht="14" customHeight="1" x14ac:dyDescent="0.35">
      <c r="B191" s="80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4" spans="2:8" ht="20" customHeight="1" x14ac:dyDescent="0.35">
      <c r="B194" s="40" t="s">
        <v>25</v>
      </c>
      <c r="C194" s="58"/>
    </row>
    <row r="196" spans="2:8" ht="14" customHeight="1" x14ac:dyDescent="0.35">
      <c r="B196" s="27" t="s">
        <v>18</v>
      </c>
      <c r="C196" s="78">
        <v>2019</v>
      </c>
      <c r="D196" s="78">
        <v>2020</v>
      </c>
      <c r="E196" s="78">
        <v>2021</v>
      </c>
      <c r="F196" s="78">
        <v>2022</v>
      </c>
      <c r="G196" s="78">
        <v>2023</v>
      </c>
      <c r="H196" s="78" t="s">
        <v>19</v>
      </c>
    </row>
    <row r="197" spans="2:8" ht="14" customHeight="1" x14ac:dyDescent="0.35">
      <c r="B197" s="31" t="s">
        <v>120</v>
      </c>
      <c r="C197" s="51">
        <f t="shared" ref="C197:G198" si="25">C171+C121+C71+C22</f>
        <v>94089.550400000007</v>
      </c>
      <c r="D197" s="51">
        <f t="shared" si="25"/>
        <v>141263.20736</v>
      </c>
      <c r="E197" s="51">
        <f t="shared" si="25"/>
        <v>242127.66611200001</v>
      </c>
      <c r="F197" s="51">
        <f t="shared" si="25"/>
        <v>514769.87129599997</v>
      </c>
      <c r="G197" s="51">
        <f t="shared" si="25"/>
        <v>1212626.9770239999</v>
      </c>
      <c r="H197" s="51">
        <f>SUM(C197:G197)</f>
        <v>2204877.2721919999</v>
      </c>
    </row>
    <row r="198" spans="2:8" ht="14" customHeight="1" x14ac:dyDescent="0.35">
      <c r="B198" s="31" t="s">
        <v>15</v>
      </c>
      <c r="C198" s="79">
        <f t="shared" si="25"/>
        <v>137444.40960000001</v>
      </c>
      <c r="D198" s="79">
        <f t="shared" si="25"/>
        <v>155320.76783999999</v>
      </c>
      <c r="E198" s="79">
        <f t="shared" si="25"/>
        <v>203148.21100800001</v>
      </c>
      <c r="F198" s="79">
        <f t="shared" si="25"/>
        <v>375781.88294400001</v>
      </c>
      <c r="G198" s="79">
        <f t="shared" si="25"/>
        <v>568476.53145600006</v>
      </c>
      <c r="H198" s="51">
        <f>SUM(C198:G198)</f>
        <v>1440171.8028480001</v>
      </c>
    </row>
    <row r="199" spans="2:8" ht="14" customHeight="1" x14ac:dyDescent="0.35">
      <c r="B199" s="31" t="s">
        <v>16</v>
      </c>
      <c r="C199" s="51">
        <f>C173+C123+C73+C24</f>
        <v>231533.96000000002</v>
      </c>
      <c r="D199" s="51">
        <f>SUM(D197:D198)</f>
        <v>296583.97519999999</v>
      </c>
      <c r="E199" s="51">
        <f>SUM(E24,E73,E173,E123)</f>
        <v>445275.87711999996</v>
      </c>
      <c r="F199" s="51">
        <f>SUM(F24,F73,F123,F173)</f>
        <v>890551.75423999992</v>
      </c>
      <c r="G199" s="51">
        <f>SUM(G24,G73,G123,G173)</f>
        <v>1781103.5084799998</v>
      </c>
      <c r="H199" s="51">
        <f>SUM(C199:G199)</f>
        <v>3645049.0750399996</v>
      </c>
    </row>
    <row r="200" spans="2:8" ht="14" customHeight="1" thickBot="1" x14ac:dyDescent="0.4">
      <c r="B200" s="32" t="s">
        <v>113</v>
      </c>
      <c r="C200" s="79">
        <f>C174+C124+C74+C25</f>
        <v>115766.98000000001</v>
      </c>
      <c r="D200" s="79">
        <f t="shared" ref="D200:G201" si="26">D174+D124+D74+D25</f>
        <v>148291.98759999999</v>
      </c>
      <c r="E200" s="79">
        <f t="shared" si="26"/>
        <v>222637.93856000001</v>
      </c>
      <c r="F200" s="79">
        <f t="shared" si="26"/>
        <v>445275.87712000002</v>
      </c>
      <c r="G200" s="79">
        <f t="shared" si="26"/>
        <v>890551.75424000004</v>
      </c>
      <c r="H200" s="79">
        <f>SUM(C200:G200)</f>
        <v>1822524.5375200002</v>
      </c>
    </row>
    <row r="201" spans="2:8" ht="14" customHeight="1" thickBot="1" x14ac:dyDescent="0.4">
      <c r="B201" s="32" t="s">
        <v>20</v>
      </c>
      <c r="C201" s="153">
        <f>C175+C125+C75+C26</f>
        <v>96.960000000000008</v>
      </c>
      <c r="D201" s="153">
        <f t="shared" si="26"/>
        <v>886.59119550000014</v>
      </c>
      <c r="E201" s="153">
        <f t="shared" si="26"/>
        <v>4968.3243327999999</v>
      </c>
      <c r="F201" s="153">
        <f t="shared" si="26"/>
        <v>19415.542207999999</v>
      </c>
      <c r="G201" s="153">
        <f t="shared" si="26"/>
        <v>65566.265395199996</v>
      </c>
      <c r="H201" s="154">
        <f>SUM(C201:G201)</f>
        <v>90933.683131500002</v>
      </c>
    </row>
    <row r="203" spans="2:8" ht="14" customHeight="1" x14ac:dyDescent="0.35">
      <c r="C203" s="58">
        <v>2019</v>
      </c>
      <c r="D203" s="58">
        <v>2020</v>
      </c>
      <c r="E203" s="58">
        <v>2021</v>
      </c>
      <c r="F203" s="58">
        <v>2022</v>
      </c>
      <c r="G203" s="58">
        <v>2023</v>
      </c>
    </row>
    <row r="204" spans="2:8" ht="14" customHeight="1" x14ac:dyDescent="0.35">
      <c r="B204" s="30" t="s">
        <v>103</v>
      </c>
      <c r="C204" s="155"/>
      <c r="D204" s="155">
        <f>D199/C199</f>
        <v>1.2809523717384697</v>
      </c>
      <c r="E204" s="155">
        <f>E199/D199</f>
        <v>1.5013484016448639</v>
      </c>
      <c r="F204" s="155">
        <f>F199/E199</f>
        <v>2</v>
      </c>
      <c r="G204" s="155">
        <f>G199/F199</f>
        <v>2</v>
      </c>
      <c r="H204" s="155"/>
    </row>
    <row r="205" spans="2:8" ht="14" customHeight="1" x14ac:dyDescent="0.35">
      <c r="B205" s="126" t="s">
        <v>110</v>
      </c>
      <c r="C205" s="147"/>
      <c r="D205" s="147">
        <f t="shared" ref="D205:G206" si="27">D197/C197</f>
        <v>1.5013697776156021</v>
      </c>
      <c r="E205" s="147">
        <f t="shared" si="27"/>
        <v>1.7140179006055949</v>
      </c>
      <c r="F205" s="147">
        <f t="shared" si="27"/>
        <v>2.1260266518155135</v>
      </c>
      <c r="G205" s="147">
        <f t="shared" si="27"/>
        <v>2.3556681240319177</v>
      </c>
      <c r="H205" s="147"/>
    </row>
    <row r="206" spans="2:8" ht="14" customHeight="1" x14ac:dyDescent="0.35">
      <c r="B206" s="126" t="s">
        <v>109</v>
      </c>
      <c r="C206" s="147"/>
      <c r="D206" s="147">
        <f t="shared" si="27"/>
        <v>1.1300624615582762</v>
      </c>
      <c r="E206" s="147">
        <f t="shared" si="27"/>
        <v>1.3079269040008117</v>
      </c>
      <c r="F206" s="147">
        <f t="shared" si="27"/>
        <v>1.8497917411106399</v>
      </c>
      <c r="G206" s="147">
        <f t="shared" si="27"/>
        <v>1.5127832321302086</v>
      </c>
      <c r="H206" s="147"/>
    </row>
    <row r="207" spans="2:8" ht="14" customHeight="1" x14ac:dyDescent="0.35">
      <c r="B207" s="156" t="s">
        <v>121</v>
      </c>
      <c r="C207" s="157"/>
      <c r="D207" s="157">
        <f>D201/C201</f>
        <v>9.1438860922029708</v>
      </c>
      <c r="E207" s="157">
        <f>E201/D201</f>
        <v>5.6038502953980656</v>
      </c>
      <c r="F207" s="157">
        <f>F201/E201</f>
        <v>3.9078652896756392</v>
      </c>
      <c r="G207" s="157">
        <f>G201/F201</f>
        <v>3.3769989368715136</v>
      </c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96D3A-EA16-43B6-A758-4FD0D54F7C9B}">
  <dimension ref="B2:P102"/>
  <sheetViews>
    <sheetView showGridLines="0" topLeftCell="A57" zoomScale="60" zoomScaleNormal="60" workbookViewId="0">
      <selection activeCell="F80" sqref="F80"/>
    </sheetView>
  </sheetViews>
  <sheetFormatPr baseColWidth="10" defaultColWidth="14.6328125" defaultRowHeight="14" customHeight="1" x14ac:dyDescent="0.35"/>
  <cols>
    <col min="1" max="1" width="14" style="29" customWidth="1"/>
    <col min="2" max="2" width="44.6328125" style="29" customWidth="1"/>
    <col min="3" max="15" width="13.7265625" style="47" customWidth="1"/>
    <col min="16" max="16384" width="14.6328125" style="29"/>
  </cols>
  <sheetData>
    <row r="2" spans="2:15" ht="20" customHeight="1" x14ac:dyDescent="0.35">
      <c r="B2" s="28" t="s">
        <v>48</v>
      </c>
      <c r="C2" s="48"/>
    </row>
    <row r="3" spans="2:15" ht="14" customHeight="1" x14ac:dyDescent="0.35">
      <c r="B3" s="30"/>
      <c r="C3" s="31"/>
    </row>
    <row r="4" spans="2:15" ht="14" customHeight="1" x14ac:dyDescent="0.35">
      <c r="B4" s="27" t="s">
        <v>228</v>
      </c>
      <c r="C4" s="49" t="s">
        <v>1</v>
      </c>
      <c r="D4" s="50" t="s">
        <v>2</v>
      </c>
      <c r="E4" s="50" t="s">
        <v>3</v>
      </c>
      <c r="F4" s="50" t="s">
        <v>4</v>
      </c>
      <c r="G4" s="50" t="s">
        <v>5</v>
      </c>
      <c r="H4" s="50" t="s">
        <v>6</v>
      </c>
      <c r="I4" s="50" t="s">
        <v>7</v>
      </c>
      <c r="J4" s="50" t="s">
        <v>8</v>
      </c>
      <c r="K4" s="314" t="s">
        <v>9</v>
      </c>
      <c r="L4" s="50" t="s">
        <v>10</v>
      </c>
      <c r="M4" s="50" t="s">
        <v>11</v>
      </c>
      <c r="N4" s="50" t="s">
        <v>12</v>
      </c>
      <c r="O4" s="50" t="s">
        <v>22</v>
      </c>
    </row>
    <row r="5" spans="2:15" ht="14" customHeight="1" x14ac:dyDescent="0.35">
      <c r="B5" s="323" t="s">
        <v>233</v>
      </c>
      <c r="C5" s="320">
        <f>'Forecast Sold Cars'!C15</f>
        <v>1448</v>
      </c>
      <c r="D5" s="320">
        <f>'Forecast Sold Cars'!D15</f>
        <v>1313.6000000000001</v>
      </c>
      <c r="E5" s="320">
        <f>'Forecast Sold Cars'!E15</f>
        <v>1460.8000000000002</v>
      </c>
      <c r="F5" s="320">
        <f>'Forecast Sold Cars'!F15</f>
        <v>1400</v>
      </c>
      <c r="G5" s="320">
        <f>'Forecast Sold Cars'!G15</f>
        <v>1371.2</v>
      </c>
      <c r="H5" s="320">
        <f>'Forecast Sold Cars'!H15</f>
        <v>1598.4</v>
      </c>
      <c r="I5" s="320">
        <f>'Forecast Sold Cars'!I15</f>
        <v>1491.2</v>
      </c>
      <c r="J5" s="320">
        <f>'Forecast Sold Cars'!J15</f>
        <v>1300.8000000000002</v>
      </c>
      <c r="K5" s="326">
        <f>'Forecast Sold Cars'!K15</f>
        <v>1601.6000000000001</v>
      </c>
      <c r="L5" s="320">
        <f>'Forecast Sold Cars'!L15</f>
        <v>1916.8000000000002</v>
      </c>
      <c r="M5" s="320">
        <f>'Forecast Sold Cars'!M15</f>
        <v>2142.4</v>
      </c>
      <c r="N5" s="320">
        <f>'Forecast Sold Cars'!N15</f>
        <v>4035.2000000000003</v>
      </c>
      <c r="O5" s="321">
        <f>SUM(C5:N5)</f>
        <v>21080.000000000004</v>
      </c>
    </row>
    <row r="6" spans="2:15" s="33" customFormat="1" ht="14" customHeight="1" x14ac:dyDescent="0.35">
      <c r="B6" s="30" t="s">
        <v>227</v>
      </c>
      <c r="C6" s="317">
        <f>'Forecast Sold Cars'!C17</f>
        <v>0</v>
      </c>
      <c r="D6" s="317">
        <f>'Forecast Sold Cars'!D17</f>
        <v>0</v>
      </c>
      <c r="E6" s="317">
        <f>'Forecast Sold Cars'!E17</f>
        <v>0</v>
      </c>
      <c r="F6" s="317">
        <f>'Forecast Sold Cars'!F17</f>
        <v>0</v>
      </c>
      <c r="G6" s="317">
        <f>'Forecast Sold Cars'!G17</f>
        <v>0</v>
      </c>
      <c r="H6" s="317">
        <f>'Forecast Sold Cars'!H17</f>
        <v>0</v>
      </c>
      <c r="I6" s="317">
        <f>'Forecast Sold Cars'!I17</f>
        <v>0</v>
      </c>
      <c r="J6" s="317">
        <f>'Forecast Sold Cars'!J17</f>
        <v>0</v>
      </c>
      <c r="K6" s="315">
        <f>'Forecast Sold Cars'!K17</f>
        <v>16.016000000000002</v>
      </c>
      <c r="L6" s="317">
        <f>'Forecast Sold Cars'!L17</f>
        <v>19.168000000000003</v>
      </c>
      <c r="M6" s="317">
        <f>'Forecast Sold Cars'!M17</f>
        <v>21.424000000000003</v>
      </c>
      <c r="N6" s="317">
        <f>'Forecast Sold Cars'!N17</f>
        <v>40.352000000000004</v>
      </c>
      <c r="O6" s="317">
        <f>SUM(C6:N6)</f>
        <v>96.960000000000008</v>
      </c>
    </row>
    <row r="7" spans="2:15" s="33" customFormat="1" ht="14" customHeight="1" x14ac:dyDescent="0.35">
      <c r="B7" s="31" t="s">
        <v>236</v>
      </c>
      <c r="C7" s="311">
        <v>0</v>
      </c>
      <c r="D7" s="311">
        <v>0</v>
      </c>
      <c r="E7" s="311">
        <v>0</v>
      </c>
      <c r="F7" s="311">
        <v>0</v>
      </c>
      <c r="G7" s="311">
        <v>0</v>
      </c>
      <c r="H7" s="311">
        <v>0</v>
      </c>
      <c r="I7" s="311">
        <v>0</v>
      </c>
      <c r="J7" s="311">
        <v>0</v>
      </c>
      <c r="K7" s="315">
        <f>K5*Assumptions!E14</f>
        <v>0</v>
      </c>
      <c r="L7" s="311">
        <f>L5*Assumptions!E14</f>
        <v>0</v>
      </c>
      <c r="M7" s="311">
        <f>M5*Assumptions!E14</f>
        <v>0</v>
      </c>
      <c r="N7" s="311">
        <f>N5*Assumptions!E14</f>
        <v>0</v>
      </c>
      <c r="O7" s="311">
        <f>SUM(K7:N7)</f>
        <v>0</v>
      </c>
    </row>
    <row r="8" spans="2:15" s="33" customFormat="1" ht="14" customHeight="1" x14ac:dyDescent="0.35">
      <c r="B8" s="310" t="s">
        <v>234</v>
      </c>
      <c r="C8" s="317">
        <v>0</v>
      </c>
      <c r="D8" s="317">
        <v>0</v>
      </c>
      <c r="E8" s="317">
        <v>0</v>
      </c>
      <c r="F8" s="317">
        <v>0</v>
      </c>
      <c r="G8" s="317">
        <v>0</v>
      </c>
      <c r="H8" s="317">
        <v>0</v>
      </c>
      <c r="I8" s="317">
        <v>0</v>
      </c>
      <c r="J8" s="317">
        <v>0</v>
      </c>
      <c r="K8" s="315">
        <f>K5*Assumptions!E14</f>
        <v>0</v>
      </c>
      <c r="L8" s="317">
        <f>L5*Assumptions!E14-(K8*Assumptions!E15)+K8</f>
        <v>0</v>
      </c>
      <c r="M8" s="317">
        <f>M5*Assumptions!E14-(L8*Assumptions!E15)+L8</f>
        <v>0</v>
      </c>
      <c r="N8" s="317">
        <f>N5*Assumptions!E14-(M8*Assumptions!E15)+M8</f>
        <v>0</v>
      </c>
      <c r="O8" s="313">
        <f>N8</f>
        <v>0</v>
      </c>
    </row>
    <row r="9" spans="2:15" ht="14" customHeight="1" x14ac:dyDescent="0.35">
      <c r="B9" s="32" t="s">
        <v>229</v>
      </c>
      <c r="C9" s="311">
        <v>0</v>
      </c>
      <c r="D9" s="311">
        <v>0</v>
      </c>
      <c r="E9" s="311">
        <v>0</v>
      </c>
      <c r="F9" s="311">
        <v>0</v>
      </c>
      <c r="G9" s="311">
        <v>0</v>
      </c>
      <c r="H9" s="311">
        <v>0</v>
      </c>
      <c r="I9" s="311">
        <v>0</v>
      </c>
      <c r="J9" s="311">
        <v>0</v>
      </c>
      <c r="K9" s="315">
        <f>Assumptions!E16*K8</f>
        <v>0</v>
      </c>
      <c r="L9" s="311">
        <f>Assumptions!F16*L8</f>
        <v>0</v>
      </c>
      <c r="M9" s="311">
        <f>Assumptions!G16*M8</f>
        <v>0</v>
      </c>
      <c r="N9" s="311">
        <f>Assumptions!H16*N8</f>
        <v>0</v>
      </c>
      <c r="O9" s="312">
        <f t="shared" ref="O9" si="0">SUM(C9:N9)</f>
        <v>0</v>
      </c>
    </row>
    <row r="10" spans="2:15" s="33" customFormat="1" ht="14" customHeight="1" x14ac:dyDescent="0.35">
      <c r="B10" s="32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2"/>
    </row>
    <row r="11" spans="2:15" s="33" customFormat="1" ht="14" customHeight="1" x14ac:dyDescent="0.35">
      <c r="B11" s="32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/>
    </row>
    <row r="12" spans="2:15" s="33" customFormat="1" ht="14" customHeight="1" x14ac:dyDescent="0.35">
      <c r="B12" s="27" t="s">
        <v>228</v>
      </c>
      <c r="C12" s="49">
        <v>2019</v>
      </c>
      <c r="D12" s="50">
        <v>2020</v>
      </c>
      <c r="E12" s="50">
        <v>2021</v>
      </c>
      <c r="F12" s="50">
        <v>2022</v>
      </c>
      <c r="G12" s="50">
        <v>2023</v>
      </c>
      <c r="H12" s="50" t="s">
        <v>16</v>
      </c>
      <c r="I12" s="311"/>
      <c r="J12" s="311"/>
      <c r="K12" s="311"/>
      <c r="L12" s="311"/>
      <c r="M12" s="311"/>
      <c r="N12" s="311"/>
      <c r="O12" s="312"/>
    </row>
    <row r="13" spans="2:15" s="33" customFormat="1" ht="14" customHeight="1" x14ac:dyDescent="0.35">
      <c r="B13" s="323" t="s">
        <v>233</v>
      </c>
      <c r="C13" s="320">
        <f>'Forecast Sold Cars'!C24</f>
        <v>21080.000000000004</v>
      </c>
      <c r="D13" s="320">
        <f>'Forecast Sold Cars'!D24</f>
        <v>33728.000000000007</v>
      </c>
      <c r="E13" s="320">
        <f>'Forecast Sold Cars'!E24</f>
        <v>57337.600000000013</v>
      </c>
      <c r="F13" s="320">
        <f>'Forecast Sold Cars'!F24</f>
        <v>114675.20000000003</v>
      </c>
      <c r="G13" s="320">
        <f>'Forecast Sold Cars'!G24</f>
        <v>229350.40000000005</v>
      </c>
      <c r="H13" s="320">
        <f>SUM(C13:G13)</f>
        <v>456171.20000000007</v>
      </c>
      <c r="I13" s="311"/>
      <c r="J13" s="311"/>
      <c r="K13" s="311"/>
      <c r="L13" s="311"/>
      <c r="M13" s="311"/>
      <c r="N13" s="311"/>
      <c r="O13" s="312"/>
    </row>
    <row r="14" spans="2:15" s="33" customFormat="1" ht="14" customHeight="1" x14ac:dyDescent="0.35">
      <c r="B14" s="30" t="s">
        <v>227</v>
      </c>
      <c r="C14" s="317">
        <f>O6</f>
        <v>96.960000000000008</v>
      </c>
      <c r="D14" s="317">
        <f>'Forecast Sold Cars'!D26</f>
        <v>505.92000000000007</v>
      </c>
      <c r="E14" s="317">
        <f>'Forecast Sold Cars'!E26</f>
        <v>1433.4400000000005</v>
      </c>
      <c r="F14" s="317">
        <f>'Forecast Sold Cars'!F26</f>
        <v>4587.0080000000007</v>
      </c>
      <c r="G14" s="317">
        <f>'Forecast Sold Cars'!G26</f>
        <v>17201.280000000002</v>
      </c>
      <c r="H14" s="317">
        <f>'Forecast Sold Cars'!H26</f>
        <v>23824.608000000004</v>
      </c>
      <c r="I14" s="311"/>
      <c r="J14" s="311"/>
      <c r="K14" s="311"/>
      <c r="L14" s="311"/>
      <c r="M14" s="311"/>
      <c r="N14" s="311"/>
      <c r="O14" s="312"/>
    </row>
    <row r="15" spans="2:15" ht="14" customHeight="1" x14ac:dyDescent="0.35">
      <c r="B15" s="331" t="s">
        <v>236</v>
      </c>
      <c r="C15" s="311">
        <f>O7</f>
        <v>0</v>
      </c>
      <c r="D15" s="311">
        <f>D13*Assumptions!F14</f>
        <v>1011.8400000000001</v>
      </c>
      <c r="E15" s="311">
        <f>E13*Assumptions!G14</f>
        <v>5733.760000000002</v>
      </c>
      <c r="F15" s="311">
        <f>F13*Assumptions!H14</f>
        <v>17201.280000000002</v>
      </c>
      <c r="G15" s="311">
        <f>G13*Assumptions!I14</f>
        <v>45870.080000000016</v>
      </c>
      <c r="H15" s="311">
        <f>SUM(C15:G15)</f>
        <v>69816.960000000021</v>
      </c>
      <c r="I15" s="311"/>
      <c r="J15" s="311"/>
      <c r="K15" s="311"/>
      <c r="L15" s="311"/>
      <c r="M15" s="311"/>
      <c r="N15" s="311"/>
      <c r="O15" s="312"/>
    </row>
    <row r="16" spans="2:15" ht="14" customHeight="1" x14ac:dyDescent="0.35">
      <c r="B16" s="310" t="s">
        <v>234</v>
      </c>
      <c r="C16" s="317">
        <f>O8</f>
        <v>0</v>
      </c>
      <c r="D16" s="317">
        <f>D15+C16-(C16*Assumptions!F29)</f>
        <v>1011.8400000000001</v>
      </c>
      <c r="E16" s="317">
        <f>E15+D16-(D16*Assumptions!G29)</f>
        <v>6644.416000000002</v>
      </c>
      <c r="F16" s="317">
        <f>F15+E16-(E16*Assumptions!H29)</f>
        <v>23181.254400000002</v>
      </c>
      <c r="G16" s="317">
        <f>G15+F16-(F16*Assumptions!I29)</f>
        <v>66733.208960000018</v>
      </c>
      <c r="H16" s="313">
        <f>G16</f>
        <v>66733.208960000018</v>
      </c>
      <c r="I16" s="311"/>
      <c r="J16" s="311"/>
      <c r="K16" s="311"/>
      <c r="L16" s="311"/>
      <c r="M16" s="311"/>
      <c r="N16" s="311"/>
      <c r="O16" s="312"/>
    </row>
    <row r="17" spans="2:15" ht="14" customHeight="1" x14ac:dyDescent="0.35">
      <c r="B17" s="32" t="s">
        <v>229</v>
      </c>
      <c r="C17" s="311">
        <f>O9</f>
        <v>0</v>
      </c>
      <c r="D17" s="311">
        <f>D16*Assumptions!F16</f>
        <v>8094.7200000000012</v>
      </c>
      <c r="E17" s="311">
        <f>E16*Assumptions!G16</f>
        <v>59799.744000000021</v>
      </c>
      <c r="F17" s="311">
        <f>F16*Assumptions!H16</f>
        <v>231812.54400000002</v>
      </c>
      <c r="G17" s="311">
        <f>G16*Assumptions!I16</f>
        <v>667332.08960000018</v>
      </c>
      <c r="H17" s="312">
        <f t="shared" ref="H17" si="1">SUM(C17:G17)</f>
        <v>967039.09760000021</v>
      </c>
      <c r="I17" s="311"/>
      <c r="J17" s="311"/>
      <c r="K17" s="311"/>
      <c r="L17" s="311"/>
      <c r="M17" s="311"/>
      <c r="N17" s="311"/>
      <c r="O17" s="312"/>
    </row>
    <row r="18" spans="2:15" ht="14" customHeight="1" x14ac:dyDescent="0.35">
      <c r="B18" s="32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2"/>
    </row>
    <row r="19" spans="2:15" ht="14" customHeight="1" x14ac:dyDescent="0.35">
      <c r="B19" s="32"/>
      <c r="O19" s="56"/>
    </row>
    <row r="20" spans="2:15" ht="14" customHeight="1" x14ac:dyDescent="0.35">
      <c r="B20" s="32"/>
      <c r="O20" s="56"/>
    </row>
    <row r="22" spans="2:15" ht="14" customHeight="1" x14ac:dyDescent="0.35">
      <c r="B22" s="27"/>
      <c r="C22" s="318"/>
      <c r="D22" s="318"/>
      <c r="E22" s="318"/>
      <c r="F22" s="318"/>
      <c r="G22" s="318"/>
      <c r="H22" s="318"/>
      <c r="I22" s="319"/>
    </row>
    <row r="23" spans="2:15" ht="14" customHeight="1" x14ac:dyDescent="0.35">
      <c r="B23" s="35" t="s">
        <v>21</v>
      </c>
      <c r="C23" s="58"/>
    </row>
    <row r="24" spans="2:15" ht="14" customHeight="1" x14ac:dyDescent="0.35">
      <c r="B24" s="30"/>
      <c r="C24" s="31"/>
    </row>
    <row r="25" spans="2:15" ht="14" customHeight="1" x14ac:dyDescent="0.35">
      <c r="B25" s="27" t="s">
        <v>230</v>
      </c>
      <c r="C25" s="59" t="s">
        <v>1</v>
      </c>
      <c r="D25" s="59" t="s">
        <v>2</v>
      </c>
      <c r="E25" s="59" t="s">
        <v>3</v>
      </c>
      <c r="F25" s="329" t="s">
        <v>4</v>
      </c>
      <c r="G25" s="59" t="s">
        <v>5</v>
      </c>
      <c r="H25" s="59" t="s">
        <v>6</v>
      </c>
      <c r="I25" s="59" t="s">
        <v>7</v>
      </c>
      <c r="J25" s="59" t="s">
        <v>8</v>
      </c>
      <c r="K25" s="59" t="s">
        <v>9</v>
      </c>
      <c r="L25" s="59" t="s">
        <v>10</v>
      </c>
      <c r="M25" s="59" t="s">
        <v>11</v>
      </c>
      <c r="N25" s="59" t="s">
        <v>12</v>
      </c>
      <c r="O25" s="59" t="s">
        <v>115</v>
      </c>
    </row>
    <row r="26" spans="2:15" ht="14" customHeight="1" x14ac:dyDescent="0.35">
      <c r="B26" s="323" t="s">
        <v>233</v>
      </c>
      <c r="C26" s="320">
        <f>'Forecast Sold Cars'!C65</f>
        <v>5529.8043000000007</v>
      </c>
      <c r="D26" s="320">
        <f>'Forecast Sold Cars'!D65</f>
        <v>2571.0345000000002</v>
      </c>
      <c r="E26" s="320">
        <f>'Forecast Sold Cars'!E65</f>
        <v>15464.481300000001</v>
      </c>
      <c r="F26" s="326">
        <f>'Forecast Sold Cars'!F65</f>
        <v>6420.0977999999996</v>
      </c>
      <c r="G26" s="320">
        <f>'Forecast Sold Cars'!G65</f>
        <v>8440.3152000000009</v>
      </c>
      <c r="H26" s="320">
        <f>'Forecast Sold Cars'!H65</f>
        <v>10437.235200000001</v>
      </c>
      <c r="I26" s="320">
        <f>'Forecast Sold Cars'!I65</f>
        <v>7571.6550000000007</v>
      </c>
      <c r="J26" s="320">
        <f>'Forecast Sold Cars'!J65</f>
        <v>6624.7821000000004</v>
      </c>
      <c r="K26" s="320">
        <f>'Forecast Sold Cars'!K65</f>
        <v>11583.8001</v>
      </c>
      <c r="L26" s="320">
        <f>'Forecast Sold Cars'!L65</f>
        <v>7827.9264000000003</v>
      </c>
      <c r="M26" s="320">
        <f>'Forecast Sold Cars'!M65</f>
        <v>8079.2055</v>
      </c>
      <c r="N26" s="320">
        <f>'Forecast Sold Cars'!N65</f>
        <v>9149.2218000000012</v>
      </c>
      <c r="O26" s="321">
        <f>SUM(C26:N26)</f>
        <v>99699.559200000003</v>
      </c>
    </row>
    <row r="27" spans="2:15" ht="14" customHeight="1" x14ac:dyDescent="0.35">
      <c r="B27" s="30" t="s">
        <v>227</v>
      </c>
      <c r="C27" s="330">
        <f>'Forecast Sold Cars'!C67</f>
        <v>0</v>
      </c>
      <c r="D27" s="330">
        <f>'Forecast Sold Cars'!D67</f>
        <v>0</v>
      </c>
      <c r="E27" s="330">
        <f>'Forecast Sold Cars'!E67</f>
        <v>0</v>
      </c>
      <c r="F27" s="316">
        <f>'Forecast Sold Cars'!F67</f>
        <v>32.100488999999996</v>
      </c>
      <c r="G27" s="330">
        <f>'Forecast Sold Cars'!G67</f>
        <v>42.201576000000003</v>
      </c>
      <c r="H27" s="330">
        <f>'Forecast Sold Cars'!H67</f>
        <v>52.186176000000003</v>
      </c>
      <c r="I27" s="330">
        <f>'Forecast Sold Cars'!I67</f>
        <v>37.858275000000006</v>
      </c>
      <c r="J27" s="330">
        <f>'Forecast Sold Cars'!J67</f>
        <v>33.123910500000001</v>
      </c>
      <c r="K27" s="330">
        <f>'Forecast Sold Cars'!K67</f>
        <v>57.919000500000003</v>
      </c>
      <c r="L27" s="330">
        <f>'Forecast Sold Cars'!L67</f>
        <v>39.139631999999999</v>
      </c>
      <c r="M27" s="330">
        <f>'Forecast Sold Cars'!M67</f>
        <v>40.396027500000002</v>
      </c>
      <c r="N27" s="330">
        <f>'Forecast Sold Cars'!N67</f>
        <v>45.746109000000004</v>
      </c>
      <c r="O27" s="328">
        <f t="shared" ref="O27:O28" si="2">SUM(C27:N27)</f>
        <v>380.67119550000001</v>
      </c>
    </row>
    <row r="28" spans="2:15" ht="14" customHeight="1" x14ac:dyDescent="0.35">
      <c r="B28" s="31" t="s">
        <v>236</v>
      </c>
      <c r="C28" s="51">
        <v>0</v>
      </c>
      <c r="D28" s="51">
        <v>0</v>
      </c>
      <c r="E28" s="51">
        <v>0</v>
      </c>
      <c r="F28" s="316">
        <f>F26*Assumptions!F28</f>
        <v>48.150733499999994</v>
      </c>
      <c r="G28" s="51">
        <f>G26*Assumptions!F28</f>
        <v>63.302364000000004</v>
      </c>
      <c r="H28" s="51">
        <f>H26*Assumptions!F28</f>
        <v>78.279263999999998</v>
      </c>
      <c r="I28" s="51">
        <f>I26*Assumptions!F28</f>
        <v>56.787412500000002</v>
      </c>
      <c r="J28" s="51">
        <f>J26*Assumptions!F28</f>
        <v>49.685865749999998</v>
      </c>
      <c r="K28" s="51">
        <f>K26*Assumptions!F28</f>
        <v>86.878500750000001</v>
      </c>
      <c r="L28" s="51">
        <f>L26*Assumptions!F28</f>
        <v>58.709448000000002</v>
      </c>
      <c r="M28" s="51">
        <f>M26*Assumptions!F28</f>
        <v>60.594041249999997</v>
      </c>
      <c r="N28" s="51">
        <f>N26*Assumptions!F28</f>
        <v>68.619163500000013</v>
      </c>
      <c r="O28" s="320">
        <f t="shared" si="2"/>
        <v>571.00679324999999</v>
      </c>
    </row>
    <row r="29" spans="2:15" ht="14" customHeight="1" x14ac:dyDescent="0.35">
      <c r="B29" s="32" t="s">
        <v>234</v>
      </c>
      <c r="C29" s="60"/>
      <c r="D29" s="60"/>
      <c r="E29" s="60"/>
      <c r="F29" s="316">
        <f>F28</f>
        <v>48.150733499999994</v>
      </c>
      <c r="G29" s="330">
        <f>G28+F29-(F29*Assumptions!F29)</f>
        <v>106.63802414999999</v>
      </c>
      <c r="H29" s="330">
        <f>H28+G29-(G29*Assumptions!F29)</f>
        <v>174.253485735</v>
      </c>
      <c r="I29" s="330">
        <f>I28+H29-(H29*Assumptions!F29)</f>
        <v>213.61554966149998</v>
      </c>
      <c r="J29" s="330">
        <f>J28+I29-(I29*Assumptions!F29)</f>
        <v>241.93986044534998</v>
      </c>
      <c r="K29" s="330">
        <f>K28+J29-(J29*Assumptions!F29)</f>
        <v>304.62437515081501</v>
      </c>
      <c r="L29" s="330">
        <f>L28+K29-(K29*Assumptions!F29)</f>
        <v>332.87138563573353</v>
      </c>
      <c r="M29" s="330">
        <f>M28+L29-(L29*Assumptions!F29)</f>
        <v>360.17828832216014</v>
      </c>
      <c r="N29" s="330">
        <f>N28+M29-(M29*Assumptions!F29)</f>
        <v>392.77962298994413</v>
      </c>
      <c r="O29" s="327">
        <f>N29</f>
        <v>392.77962298994413</v>
      </c>
    </row>
    <row r="30" spans="2:15" ht="14" customHeight="1" x14ac:dyDescent="0.35">
      <c r="B30" s="32" t="s">
        <v>231</v>
      </c>
      <c r="C30" s="60">
        <v>0</v>
      </c>
      <c r="D30" s="60">
        <v>0</v>
      </c>
      <c r="E30" s="60">
        <v>0</v>
      </c>
      <c r="F30" s="316">
        <f>F29*Assumptions!F30</f>
        <v>0</v>
      </c>
      <c r="G30" s="330">
        <f>G29*Assumptions!F30</f>
        <v>0</v>
      </c>
      <c r="H30" s="330">
        <f>H29*Assumptions!F30</f>
        <v>0</v>
      </c>
      <c r="I30" s="330">
        <f>I29*Assumptions!F30</f>
        <v>0</v>
      </c>
      <c r="J30" s="330">
        <f>J29*Assumptions!F30</f>
        <v>0</v>
      </c>
      <c r="K30" s="330">
        <f>K29*Assumptions!F30</f>
        <v>0</v>
      </c>
      <c r="L30" s="330">
        <f>L29*Assumptions!F30</f>
        <v>0</v>
      </c>
      <c r="M30" s="330">
        <f>M29*Assumptions!F30</f>
        <v>0</v>
      </c>
      <c r="N30" s="330">
        <f>N29*Assumptions!F30</f>
        <v>0</v>
      </c>
      <c r="O30" s="327">
        <f>SUM(C30:N30)</f>
        <v>0</v>
      </c>
    </row>
    <row r="33" spans="2:16" ht="14" customHeight="1" x14ac:dyDescent="0.35">
      <c r="B33" s="27" t="s">
        <v>230</v>
      </c>
      <c r="C33" s="59">
        <v>2019</v>
      </c>
      <c r="D33" s="329">
        <v>2020</v>
      </c>
      <c r="E33" s="59">
        <v>2021</v>
      </c>
      <c r="F33" s="59">
        <v>2022</v>
      </c>
      <c r="G33" s="59">
        <v>2023</v>
      </c>
      <c r="H33" s="59" t="s">
        <v>16</v>
      </c>
    </row>
    <row r="34" spans="2:16" ht="14" customHeight="1" x14ac:dyDescent="0.35">
      <c r="B34" s="323" t="s">
        <v>233</v>
      </c>
      <c r="C34" s="320">
        <f>'Forecast Sold Cars'!C74</f>
        <v>38643.24</v>
      </c>
      <c r="D34" s="326">
        <f>'Forecast Sold Cars'!D74</f>
        <v>49849.779600000002</v>
      </c>
      <c r="E34" s="320">
        <f>'Forecast Sold Cars'!E74</f>
        <v>79759.647360000003</v>
      </c>
      <c r="F34" s="320">
        <f>'Forecast Sold Cars'!F74</f>
        <v>159519.29472000001</v>
      </c>
      <c r="G34" s="320">
        <f>'Forecast Sold Cars'!G74</f>
        <v>319038.58944000001</v>
      </c>
      <c r="H34" s="320">
        <f>'Forecast Sold Cars'!H74</f>
        <v>608167.31111999997</v>
      </c>
    </row>
    <row r="35" spans="2:16" ht="14" customHeight="1" x14ac:dyDescent="0.35">
      <c r="B35" s="30" t="s">
        <v>227</v>
      </c>
      <c r="C35" s="330">
        <f>'Forecast Sold Cars'!C76</f>
        <v>0</v>
      </c>
      <c r="D35" s="316">
        <f>O27</f>
        <v>380.67119550000001</v>
      </c>
      <c r="E35" s="330">
        <f>'Forecast Sold Cars'!E75</f>
        <v>2392.7894207999998</v>
      </c>
      <c r="F35" s="330">
        <f>'Forecast Sold Cars'!F75</f>
        <v>7975.9647360000008</v>
      </c>
      <c r="G35" s="330">
        <f>'Forecast Sold Cars'!G75</f>
        <v>25523.087155200003</v>
      </c>
      <c r="H35" s="330">
        <f>SUM(D35:G35)</f>
        <v>36272.512507500003</v>
      </c>
    </row>
    <row r="36" spans="2:16" ht="14" customHeight="1" x14ac:dyDescent="0.35">
      <c r="B36" s="31" t="s">
        <v>236</v>
      </c>
      <c r="C36" s="51">
        <v>0</v>
      </c>
      <c r="D36" s="316">
        <f>O28</f>
        <v>571.00679324999999</v>
      </c>
      <c r="E36" s="51">
        <f>E34*Assumptions!G28</f>
        <v>2392.7894207999998</v>
      </c>
      <c r="F36" s="51">
        <f>F34*Assumptions!H28</f>
        <v>15951.929472000002</v>
      </c>
      <c r="G36" s="51">
        <f>G34*Assumptions!I28</f>
        <v>47855.788416000003</v>
      </c>
      <c r="H36" s="51">
        <f>SUM(D36:G36)</f>
        <v>66771.514102050001</v>
      </c>
    </row>
    <row r="37" spans="2:16" ht="14" customHeight="1" x14ac:dyDescent="0.35">
      <c r="B37" s="32" t="s">
        <v>234</v>
      </c>
      <c r="C37" s="330"/>
      <c r="D37" s="316">
        <f>O29</f>
        <v>392.77962298994413</v>
      </c>
      <c r="E37" s="330">
        <f>E36+D37-(D37*Assumptions!G29)</f>
        <v>2746.2910814909496</v>
      </c>
      <c r="F37" s="330">
        <f>F36+E37-(E37*Assumptions!H29)</f>
        <v>18423.591445341855</v>
      </c>
      <c r="G37" s="330">
        <f>G36+F37-(F37*Assumptions!I29)</f>
        <v>64437.020716807674</v>
      </c>
      <c r="H37" s="332">
        <f>G37</f>
        <v>64437.020716807674</v>
      </c>
    </row>
    <row r="38" spans="2:16" ht="14" customHeight="1" x14ac:dyDescent="0.35">
      <c r="B38" s="32" t="s">
        <v>231</v>
      </c>
      <c r="C38" s="330">
        <v>0</v>
      </c>
      <c r="D38" s="316">
        <f>O30</f>
        <v>0</v>
      </c>
      <c r="E38" s="330">
        <f>E37*Assumptions!G30</f>
        <v>21970.328651927597</v>
      </c>
      <c r="F38" s="330">
        <f>F37*Assumptions!H30</f>
        <v>165812.3230080767</v>
      </c>
      <c r="G38" s="330">
        <f>G37*Assumptions!I30</f>
        <v>644370.20716807677</v>
      </c>
      <c r="H38" s="332">
        <f>SUM(D38:G38)</f>
        <v>832152.85882808105</v>
      </c>
    </row>
    <row r="40" spans="2:16" ht="14" customHeight="1" x14ac:dyDescent="0.35">
      <c r="B40" s="34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2" spans="2:16" ht="14" customHeight="1" x14ac:dyDescent="0.35">
      <c r="B42" s="333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33"/>
    </row>
    <row r="43" spans="2:16" ht="20" customHeight="1" x14ac:dyDescent="0.35">
      <c r="B43" s="334"/>
      <c r="C43" s="318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33"/>
    </row>
    <row r="44" spans="2:16" ht="14" customHeight="1" x14ac:dyDescent="0.35">
      <c r="B44" s="338" t="s">
        <v>24</v>
      </c>
      <c r="C44" s="58"/>
      <c r="P44" s="333"/>
    </row>
    <row r="45" spans="2:16" ht="14" customHeight="1" x14ac:dyDescent="0.35">
      <c r="B45" s="30"/>
      <c r="C45" s="31"/>
      <c r="P45" s="333"/>
    </row>
    <row r="46" spans="2:16" ht="14" customHeight="1" x14ac:dyDescent="0.35">
      <c r="B46" s="27" t="s">
        <v>230</v>
      </c>
      <c r="C46" s="339" t="s">
        <v>1</v>
      </c>
      <c r="D46" s="339" t="s">
        <v>2</v>
      </c>
      <c r="E46" s="339" t="s">
        <v>3</v>
      </c>
      <c r="F46" s="339" t="s">
        <v>4</v>
      </c>
      <c r="G46" s="339" t="s">
        <v>5</v>
      </c>
      <c r="H46" s="339" t="s">
        <v>6</v>
      </c>
      <c r="I46" s="339" t="s">
        <v>7</v>
      </c>
      <c r="J46" s="339" t="s">
        <v>8</v>
      </c>
      <c r="K46" s="339" t="s">
        <v>9</v>
      </c>
      <c r="L46" s="339" t="s">
        <v>10</v>
      </c>
      <c r="M46" s="339" t="s">
        <v>11</v>
      </c>
      <c r="N46" s="339" t="s">
        <v>12</v>
      </c>
      <c r="O46" s="339" t="s">
        <v>237</v>
      </c>
      <c r="P46" s="333"/>
    </row>
    <row r="47" spans="2:16" ht="14" customHeight="1" x14ac:dyDescent="0.35">
      <c r="B47" s="323" t="s">
        <v>233</v>
      </c>
      <c r="C47" s="320">
        <f>'Forecast Sold Cars'!C114*Assumptions!G34</f>
        <v>12016.036479999999</v>
      </c>
      <c r="D47" s="320">
        <f>'Forecast Sold Cars'!D114*Assumptions!G34</f>
        <v>12016.036479999999</v>
      </c>
      <c r="E47" s="320">
        <f>'Forecast Sold Cars'!E114*Assumptions!G34</f>
        <v>12016.036479999999</v>
      </c>
      <c r="F47" s="320">
        <f>'Forecast Sold Cars'!F114*Assumptions!G34</f>
        <v>12016.036479999999</v>
      </c>
      <c r="G47" s="320">
        <f>'Forecast Sold Cars'!G114*Assumptions!G34</f>
        <v>12016.036479999999</v>
      </c>
      <c r="H47" s="320">
        <f>'Forecast Sold Cars'!H114*Assumptions!G34</f>
        <v>12016.036479999999</v>
      </c>
      <c r="I47" s="320">
        <f>'Forecast Sold Cars'!I114*Assumptions!G34</f>
        <v>12016.036479999999</v>
      </c>
      <c r="J47" s="320">
        <f>'Forecast Sold Cars'!J114*Assumptions!G34</f>
        <v>12016.036479999999</v>
      </c>
      <c r="K47" s="320">
        <f>'Forecast Sold Cars'!K114*Assumptions!G34</f>
        <v>12016.036479999999</v>
      </c>
      <c r="L47" s="320">
        <f>'Forecast Sold Cars'!L114*Assumptions!G34</f>
        <v>12493.922559999999</v>
      </c>
      <c r="M47" s="320">
        <f>'Forecast Sold Cars'!M114*Assumptions!G34</f>
        <v>12493.922559999999</v>
      </c>
      <c r="N47" s="320">
        <f>'Forecast Sold Cars'!N114*Assumptions!G34</f>
        <v>12493.922559999999</v>
      </c>
      <c r="O47" s="321">
        <f>SUM(C47:N47)</f>
        <v>145626.09599999999</v>
      </c>
      <c r="P47" s="333"/>
    </row>
    <row r="48" spans="2:16" ht="14" customHeight="1" x14ac:dyDescent="0.35">
      <c r="B48" s="30" t="s">
        <v>227</v>
      </c>
      <c r="C48" s="340">
        <f>C47*Assumptions!G38*Assumptions!G40</f>
        <v>60.080182399999998</v>
      </c>
      <c r="D48" s="340">
        <f>D47*Assumptions!G38*Assumptions!G40</f>
        <v>60.080182399999998</v>
      </c>
      <c r="E48" s="340">
        <f>E47*Assumptions!G38*Assumptions!G40</f>
        <v>60.080182399999998</v>
      </c>
      <c r="F48" s="340">
        <f>F47*Assumptions!G38*Assumptions!G40</f>
        <v>60.080182399999998</v>
      </c>
      <c r="G48" s="340">
        <f>G47*Assumptions!G38*Assumptions!G40</f>
        <v>60.080182399999998</v>
      </c>
      <c r="H48" s="340">
        <f>H47*Assumptions!G38*Assumptions!G40</f>
        <v>60.080182399999998</v>
      </c>
      <c r="I48" s="340">
        <f>I47*Assumptions!G38*Assumptions!G40</f>
        <v>60.080182399999998</v>
      </c>
      <c r="J48" s="340">
        <f>J47*Assumptions!G38*Assumptions!G40</f>
        <v>60.080182399999998</v>
      </c>
      <c r="K48" s="340">
        <f>K47*Assumptions!G38*Assumptions!G40</f>
        <v>60.080182399999998</v>
      </c>
      <c r="L48" s="340">
        <f>L47*Assumptions!G38*Assumptions!G40</f>
        <v>62.4696128</v>
      </c>
      <c r="M48" s="340">
        <f>M47*Assumptions!G38*Assumptions!G40</f>
        <v>62.4696128</v>
      </c>
      <c r="N48" s="340">
        <f>N47*Assumptions!G38*Assumptions!G40</f>
        <v>62.4696128</v>
      </c>
      <c r="O48" s="341">
        <f t="shared" ref="O48:O49" si="3">SUM(C48:N48)</f>
        <v>728.13048000000015</v>
      </c>
      <c r="P48" s="333"/>
    </row>
    <row r="49" spans="2:16" ht="14" customHeight="1" x14ac:dyDescent="0.35">
      <c r="B49" s="31" t="s">
        <v>236</v>
      </c>
      <c r="C49" s="51">
        <f>C47*Assumptions!G42</f>
        <v>90.12027359999999</v>
      </c>
      <c r="D49" s="51">
        <f>D47*Assumptions!G42</f>
        <v>90.12027359999999</v>
      </c>
      <c r="E49" s="51">
        <f>E47*Assumptions!G42</f>
        <v>90.12027359999999</v>
      </c>
      <c r="F49" s="51">
        <f>F47*Assumptions!G42</f>
        <v>90.12027359999999</v>
      </c>
      <c r="G49" s="51">
        <f>G47*Assumptions!G42</f>
        <v>90.12027359999999</v>
      </c>
      <c r="H49" s="51">
        <f>H47*Assumptions!G42</f>
        <v>90.12027359999999</v>
      </c>
      <c r="I49" s="51">
        <f>I47*Assumptions!G42</f>
        <v>90.12027359999999</v>
      </c>
      <c r="J49" s="51">
        <f>J47*Assumptions!G42</f>
        <v>90.12027359999999</v>
      </c>
      <c r="K49" s="51">
        <f>K47*Assumptions!G42</f>
        <v>90.12027359999999</v>
      </c>
      <c r="L49" s="51">
        <f>L47*Assumptions!G42</f>
        <v>93.70441919999999</v>
      </c>
      <c r="M49" s="51">
        <f>M47*Assumptions!G42</f>
        <v>93.70441919999999</v>
      </c>
      <c r="N49" s="51">
        <f>N47*Assumptions!G42</f>
        <v>93.70441919999999</v>
      </c>
      <c r="O49" s="320">
        <f t="shared" si="3"/>
        <v>1092.1957199999999</v>
      </c>
      <c r="P49" s="333"/>
    </row>
    <row r="50" spans="2:16" ht="14" customHeight="1" x14ac:dyDescent="0.35">
      <c r="B50" s="32" t="s">
        <v>234</v>
      </c>
      <c r="C50" s="340">
        <f>C49</f>
        <v>90.12027359999999</v>
      </c>
      <c r="D50" s="340">
        <f>D49+C50-(C50*Assumptions!G43)</f>
        <v>171.22851983999999</v>
      </c>
      <c r="E50" s="340">
        <f>E49+D50-(D50*Assumptions!G43)</f>
        <v>244.22594145600002</v>
      </c>
      <c r="F50" s="340">
        <f>F49+E50-(E50*Assumptions!G43)</f>
        <v>309.92362091040002</v>
      </c>
      <c r="G50" s="340">
        <f>G49+F50-(F50*Assumptions!G43)</f>
        <v>369.05153241936006</v>
      </c>
      <c r="H50" s="340">
        <f>H49+G50-(G50*Assumptions!G43)</f>
        <v>422.26665277742404</v>
      </c>
      <c r="I50" s="340">
        <f>I49+H50-(H50*Assumptions!G43)</f>
        <v>470.16026109968163</v>
      </c>
      <c r="J50" s="340">
        <f>J49+I50-(I50*Assumptions!G43)</f>
        <v>513.2645085897135</v>
      </c>
      <c r="K50" s="340">
        <f>K49+J50-(J50*Assumptions!G43)</f>
        <v>552.05833133074213</v>
      </c>
      <c r="L50" s="340">
        <f>L49+K50-(K50*Assumptions!G43)</f>
        <v>590.55691739766792</v>
      </c>
      <c r="M50" s="340">
        <f>M49+L50-(L50*Assumptions!G43)</f>
        <v>625.20564485790112</v>
      </c>
      <c r="N50" s="340">
        <f>N49+M50-(M50*Assumptions!G43)</f>
        <v>656.38949957211094</v>
      </c>
      <c r="O50" s="342">
        <f>N50</f>
        <v>656.38949957211094</v>
      </c>
      <c r="P50" s="333"/>
    </row>
    <row r="51" spans="2:16" ht="14" customHeight="1" x14ac:dyDescent="0.35">
      <c r="B51" s="32" t="s">
        <v>231</v>
      </c>
      <c r="C51" s="340">
        <f>C50*Assumptions!G44</f>
        <v>0</v>
      </c>
      <c r="D51" s="340">
        <f>D50*Assumptions!G44</f>
        <v>0</v>
      </c>
      <c r="E51" s="340">
        <f>E50*Assumptions!G44</f>
        <v>0</v>
      </c>
      <c r="F51" s="340">
        <f>F50*Assumptions!G44</f>
        <v>0</v>
      </c>
      <c r="G51" s="340">
        <f>G50*Assumptions!G44</f>
        <v>0</v>
      </c>
      <c r="H51" s="340">
        <f>H50*Assumptions!G44</f>
        <v>0</v>
      </c>
      <c r="I51" s="340">
        <f>I50*Assumptions!G44</f>
        <v>0</v>
      </c>
      <c r="J51" s="340">
        <f>J50*Assumptions!G44</f>
        <v>0</v>
      </c>
      <c r="K51" s="340">
        <f>K50*Assumptions!G44</f>
        <v>0</v>
      </c>
      <c r="L51" s="340">
        <f>L50*Assumptions!G44</f>
        <v>0</v>
      </c>
      <c r="M51" s="340">
        <f>M50*Assumptions!G44</f>
        <v>0</v>
      </c>
      <c r="N51" s="340">
        <f>N50*Assumptions!G44</f>
        <v>0</v>
      </c>
      <c r="O51" s="342">
        <f t="shared" ref="O51" si="4">SUM(C51:N51)</f>
        <v>0</v>
      </c>
      <c r="P51" s="333"/>
    </row>
    <row r="52" spans="2:16" ht="14" customHeight="1" x14ac:dyDescent="0.35">
      <c r="P52" s="333"/>
    </row>
    <row r="53" spans="2:16" ht="14" customHeight="1" x14ac:dyDescent="0.35">
      <c r="P53" s="333"/>
    </row>
    <row r="54" spans="2:16" ht="14" customHeight="1" x14ac:dyDescent="0.35">
      <c r="B54" s="27" t="s">
        <v>230</v>
      </c>
      <c r="C54" s="339">
        <v>2019</v>
      </c>
      <c r="D54" s="339">
        <v>2020</v>
      </c>
      <c r="E54" s="325">
        <v>2021</v>
      </c>
      <c r="F54" s="339">
        <v>2022</v>
      </c>
      <c r="G54" s="339">
        <v>2023</v>
      </c>
      <c r="H54" s="339" t="s">
        <v>16</v>
      </c>
      <c r="P54" s="333"/>
    </row>
    <row r="55" spans="2:16" ht="14" customHeight="1" x14ac:dyDescent="0.35">
      <c r="B55" s="323" t="s">
        <v>233</v>
      </c>
      <c r="C55" s="320">
        <f>'Forecast Sold Cars'!C123</f>
        <v>83886.000000000015</v>
      </c>
      <c r="D55" s="320">
        <f>'Forecast Sold Cars'!D123</f>
        <v>104018.63999999998</v>
      </c>
      <c r="E55" s="326">
        <f>O47</f>
        <v>145626.09599999999</v>
      </c>
      <c r="F55" s="320">
        <f>'Forecast Sold Cars'!F123</f>
        <v>291252.19199999992</v>
      </c>
      <c r="G55" s="320">
        <f>'Forecast Sold Cars'!G123</f>
        <v>582504.38399999985</v>
      </c>
      <c r="H55" s="320">
        <f>'Forecast Sold Cars'!H123</f>
        <v>1207287.3119999997</v>
      </c>
      <c r="P55" s="333"/>
    </row>
    <row r="56" spans="2:16" ht="14" customHeight="1" x14ac:dyDescent="0.35">
      <c r="B56" s="30" t="s">
        <v>227</v>
      </c>
      <c r="C56" s="340">
        <v>0</v>
      </c>
      <c r="D56" s="340">
        <v>0</v>
      </c>
      <c r="E56" s="326">
        <f>O48</f>
        <v>728.13048000000015</v>
      </c>
      <c r="F56" s="340">
        <f>'Forecast Sold Cars'!F125</f>
        <v>4368.7828799999988</v>
      </c>
      <c r="G56" s="340">
        <f>'Forecast Sold Cars'!G125</f>
        <v>14562.609599999996</v>
      </c>
      <c r="H56" s="340">
        <f>SUM(D56:G56)</f>
        <v>19659.522959999995</v>
      </c>
      <c r="P56" s="333"/>
    </row>
    <row r="57" spans="2:16" ht="14" customHeight="1" x14ac:dyDescent="0.35">
      <c r="B57" s="31" t="s">
        <v>236</v>
      </c>
      <c r="C57" s="51">
        <v>0</v>
      </c>
      <c r="D57" s="51">
        <v>0</v>
      </c>
      <c r="E57" s="326">
        <f>O49</f>
        <v>1092.1957199999999</v>
      </c>
      <c r="F57" s="51">
        <f>F55*Assumptions!H42</f>
        <v>8737.5657599999977</v>
      </c>
      <c r="G57" s="51">
        <f>G55*Assumptions!I42</f>
        <v>58250.438399999985</v>
      </c>
      <c r="H57" s="51">
        <f>SUM(D57:G57)</f>
        <v>68080.199879999986</v>
      </c>
      <c r="P57" s="333"/>
    </row>
    <row r="58" spans="2:16" ht="14" customHeight="1" x14ac:dyDescent="0.35">
      <c r="B58" s="32" t="s">
        <v>234</v>
      </c>
      <c r="C58" s="340">
        <v>0</v>
      </c>
      <c r="D58" s="340">
        <v>0</v>
      </c>
      <c r="E58" s="326">
        <f>O50</f>
        <v>656.38949957211094</v>
      </c>
      <c r="F58" s="340">
        <f>F57+E58-(E58*Assumptions!H43)</f>
        <v>9328.3163096148983</v>
      </c>
      <c r="G58" s="340">
        <f>G57+F58-(F58*Assumptions!I43)</f>
        <v>66645.923078653388</v>
      </c>
      <c r="H58" s="343">
        <f>G58</f>
        <v>66645.923078653388</v>
      </c>
      <c r="P58" s="333"/>
    </row>
    <row r="59" spans="2:16" ht="14" customHeight="1" x14ac:dyDescent="0.35">
      <c r="B59" s="32" t="s">
        <v>231</v>
      </c>
      <c r="C59" s="340">
        <v>0</v>
      </c>
      <c r="D59" s="340">
        <v>0</v>
      </c>
      <c r="E59" s="326">
        <f t="shared" ref="E59" si="5">O51</f>
        <v>0</v>
      </c>
      <c r="F59" s="340">
        <f>F58*Assumptions!H44</f>
        <v>74626.530476919186</v>
      </c>
      <c r="G59" s="340">
        <f>G58*Assumptions!I44</f>
        <v>599813.30770788051</v>
      </c>
      <c r="H59" s="343">
        <f>SUM(D59:G59)</f>
        <v>674439.83818479965</v>
      </c>
      <c r="P59" s="333"/>
    </row>
    <row r="60" spans="2:16" ht="14" customHeight="1" x14ac:dyDescent="0.35">
      <c r="B60" s="337"/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18"/>
      <c r="P60" s="333"/>
    </row>
    <row r="61" spans="2:16" ht="14" customHeight="1" x14ac:dyDescent="0.35">
      <c r="B61" s="337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18"/>
      <c r="P61" s="333"/>
    </row>
    <row r="62" spans="2:16" ht="14" customHeight="1" x14ac:dyDescent="0.35">
      <c r="B62" s="322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33"/>
    </row>
    <row r="64" spans="2:16" ht="14" customHeight="1" x14ac:dyDescent="0.35">
      <c r="B64" s="36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2:16" ht="14" customHeight="1" x14ac:dyDescent="0.35">
      <c r="B65" s="344" t="s">
        <v>23</v>
      </c>
      <c r="C65" s="58"/>
      <c r="P65" s="333"/>
    </row>
    <row r="66" spans="2:16" ht="20" customHeight="1" x14ac:dyDescent="0.35">
      <c r="B66" s="30"/>
      <c r="C66" s="31"/>
      <c r="P66" s="333"/>
    </row>
    <row r="67" spans="2:16" ht="14" customHeight="1" x14ac:dyDescent="0.35">
      <c r="B67" s="27" t="s">
        <v>230</v>
      </c>
      <c r="C67" s="345" t="s">
        <v>1</v>
      </c>
      <c r="D67" s="345" t="s">
        <v>2</v>
      </c>
      <c r="E67" s="345" t="s">
        <v>3</v>
      </c>
      <c r="F67" s="345" t="s">
        <v>4</v>
      </c>
      <c r="G67" s="345" t="s">
        <v>5</v>
      </c>
      <c r="H67" s="345" t="s">
        <v>6</v>
      </c>
      <c r="I67" s="345" t="s">
        <v>7</v>
      </c>
      <c r="J67" s="345" t="s">
        <v>8</v>
      </c>
      <c r="K67" s="345" t="s">
        <v>9</v>
      </c>
      <c r="L67" s="345" t="s">
        <v>10</v>
      </c>
      <c r="M67" s="345" t="s">
        <v>11</v>
      </c>
      <c r="N67" s="345" t="s">
        <v>12</v>
      </c>
      <c r="O67" s="345" t="s">
        <v>237</v>
      </c>
      <c r="P67" s="333"/>
    </row>
    <row r="68" spans="2:16" ht="14" customHeight="1" x14ac:dyDescent="0.35">
      <c r="B68" s="323" t="s">
        <v>233</v>
      </c>
      <c r="C68" s="320">
        <f>'Forecast Sold Cars'!C163*Assumptions!G48</f>
        <v>4229.3663999999999</v>
      </c>
      <c r="D68" s="320">
        <f>'Forecast Sold Cars'!D163*Assumptions!G48</f>
        <v>5693.5871999999999</v>
      </c>
      <c r="E68" s="320">
        <f>'Forecast Sold Cars'!E163*Assumptions!G48</f>
        <v>9748.7711999999992</v>
      </c>
      <c r="F68" s="320">
        <f>'Forecast Sold Cars'!F163*Assumptions!G48</f>
        <v>5140.1952000000001</v>
      </c>
      <c r="G68" s="320">
        <f>'Forecast Sold Cars'!G163*Assumptions!G48</f>
        <v>5622.8256000000001</v>
      </c>
      <c r="H68" s="320">
        <f>'Forecast Sold Cars'!H163*Assumptions!G48</f>
        <v>8467.8047999999999</v>
      </c>
      <c r="I68" s="320">
        <f>'Forecast Sold Cars'!I163*Assumptions!G48</f>
        <v>5241.8015999999998</v>
      </c>
      <c r="J68" s="320">
        <f>'Forecast Sold Cars'!J163*Assumptions!G48</f>
        <v>5591.9808000000003</v>
      </c>
      <c r="K68" s="320">
        <f>'Forecast Sold Cars'!K163*Assumptions!G48</f>
        <v>6771.3407999999999</v>
      </c>
      <c r="L68" s="320">
        <f>'Forecast Sold Cars'!L163*Assumptions!G48</f>
        <v>7052.572799999999</v>
      </c>
      <c r="M68" s="320">
        <f>'Forecast Sold Cars'!M163*Assumptions!G48</f>
        <v>8903.2608</v>
      </c>
      <c r="N68" s="320">
        <f>'Forecast Sold Cars'!N163*Assumptions!G48</f>
        <v>10329.379199999999</v>
      </c>
      <c r="O68" s="321">
        <f>SUM(C68:N68)</f>
        <v>82792.886399999988</v>
      </c>
      <c r="P68" s="333"/>
    </row>
    <row r="69" spans="2:16" ht="14" customHeight="1" x14ac:dyDescent="0.35">
      <c r="B69" s="30" t="s">
        <v>227</v>
      </c>
      <c r="C69" s="348">
        <f>C68*Assumptions!G54</f>
        <v>42.293664</v>
      </c>
      <c r="D69" s="348">
        <f>D68*Assumptions!G54</f>
        <v>56.935872000000003</v>
      </c>
      <c r="E69" s="348">
        <f>E68*Assumptions!G54</f>
        <v>97.487711999999988</v>
      </c>
      <c r="F69" s="348">
        <f>F68*Assumptions!G54</f>
        <v>51.401952000000001</v>
      </c>
      <c r="G69" s="348">
        <f>G68*Assumptions!G54</f>
        <v>56.228256000000002</v>
      </c>
      <c r="H69" s="348">
        <f>H68*Assumptions!G54</f>
        <v>84.678048000000004</v>
      </c>
      <c r="I69" s="348">
        <f>I68*Assumptions!G54</f>
        <v>52.418016000000001</v>
      </c>
      <c r="J69" s="348">
        <f>J68*Assumptions!G54</f>
        <v>55.919808000000003</v>
      </c>
      <c r="K69" s="348">
        <f>K68*Assumptions!G54</f>
        <v>67.713408000000001</v>
      </c>
      <c r="L69" s="348">
        <f>L68*Assumptions!G54</f>
        <v>70.525727999999987</v>
      </c>
      <c r="M69" s="348">
        <f>M68*Assumptions!G54</f>
        <v>89.032607999999996</v>
      </c>
      <c r="N69" s="348">
        <f>N68*Assumptions!G54</f>
        <v>103.293792</v>
      </c>
      <c r="O69" s="346">
        <f t="shared" ref="O69:O70" si="6">SUM(C69:N69)</f>
        <v>827.92886399999998</v>
      </c>
      <c r="P69" s="333"/>
    </row>
    <row r="70" spans="2:16" ht="14" customHeight="1" x14ac:dyDescent="0.35">
      <c r="B70" s="31" t="s">
        <v>236</v>
      </c>
      <c r="C70" s="51">
        <f>C68*Assumptions!G56</f>
        <v>31.720247999999998</v>
      </c>
      <c r="D70" s="51">
        <f>D68*Assumptions!G56</f>
        <v>42.701903999999999</v>
      </c>
      <c r="E70" s="51">
        <f>E68*Assumptions!G56</f>
        <v>73.115783999999991</v>
      </c>
      <c r="F70" s="51">
        <f>F68*Assumptions!G56</f>
        <v>38.551464000000003</v>
      </c>
      <c r="G70" s="51">
        <f>G68*Assumptions!G56</f>
        <v>42.171191999999998</v>
      </c>
      <c r="H70" s="51">
        <f>H68*Assumptions!G56</f>
        <v>63.508535999999999</v>
      </c>
      <c r="I70" s="51">
        <f>I68*Assumptions!G56</f>
        <v>39.313511999999996</v>
      </c>
      <c r="J70" s="51">
        <f>J68*Assumptions!G56</f>
        <v>41.939855999999999</v>
      </c>
      <c r="K70" s="51">
        <f>K68*Assumptions!G56</f>
        <v>50.785055999999997</v>
      </c>
      <c r="L70" s="51">
        <f>L68*Assumptions!G56</f>
        <v>52.89429599999999</v>
      </c>
      <c r="M70" s="51">
        <f>M68*Assumptions!G56</f>
        <v>66.774456000000001</v>
      </c>
      <c r="N70" s="51">
        <f>N68*Assumptions!G56</f>
        <v>77.470343999999997</v>
      </c>
      <c r="O70" s="320">
        <f t="shared" si="6"/>
        <v>620.94664799999998</v>
      </c>
      <c r="P70" s="333"/>
    </row>
    <row r="71" spans="2:16" ht="14" customHeight="1" x14ac:dyDescent="0.35">
      <c r="B71" s="32" t="s">
        <v>234</v>
      </c>
      <c r="C71" s="348">
        <f>C70</f>
        <v>31.720247999999998</v>
      </c>
      <c r="D71" s="348">
        <f>D70+C71-(C71*Assumptions!G57)</f>
        <v>71.250127199999994</v>
      </c>
      <c r="E71" s="348">
        <f>E70+D71-(D71*Assumptions!G57)</f>
        <v>137.24089847999997</v>
      </c>
      <c r="F71" s="348">
        <f>F70+E71-(E71*Assumptions!G57)</f>
        <v>162.06827263199997</v>
      </c>
      <c r="G71" s="348">
        <f>G70+F71-(F71*Assumptions!G57)</f>
        <v>188.03263736879995</v>
      </c>
      <c r="H71" s="348">
        <f>H70+G71-(G71*Assumptions!G57)</f>
        <v>232.73790963191996</v>
      </c>
      <c r="I71" s="348">
        <f>I70+H71-(H71*Assumptions!G57)</f>
        <v>248.77763066872794</v>
      </c>
      <c r="J71" s="348">
        <f>J70+I71-(I71*Assumptions!G57)</f>
        <v>265.83972360185516</v>
      </c>
      <c r="K71" s="348">
        <f>K70+J71-(J71*Assumptions!G57)</f>
        <v>290.04080724166965</v>
      </c>
      <c r="L71" s="348">
        <f>L70+K71-(K71*Assumptions!G57)</f>
        <v>313.9310225175027</v>
      </c>
      <c r="M71" s="348">
        <f>M70+L71-(L71*Assumptions!G57)</f>
        <v>349.31237626575239</v>
      </c>
      <c r="N71" s="348">
        <f>N70+M71-(M71*Assumptions!G57)</f>
        <v>391.85148263917716</v>
      </c>
      <c r="O71" s="347">
        <f>N71</f>
        <v>391.85148263917716</v>
      </c>
      <c r="P71" s="333"/>
    </row>
    <row r="72" spans="2:16" ht="14" customHeight="1" x14ac:dyDescent="0.35">
      <c r="B72" s="32" t="s">
        <v>231</v>
      </c>
      <c r="C72" s="348">
        <f>C71*Assumptions!G58</f>
        <v>0</v>
      </c>
      <c r="D72" s="348">
        <f>D71*Assumptions!G58</f>
        <v>0</v>
      </c>
      <c r="E72" s="348">
        <f>E71*Assumptions!G58</f>
        <v>0</v>
      </c>
      <c r="F72" s="348">
        <f>F71*Assumptions!G58</f>
        <v>0</v>
      </c>
      <c r="G72" s="348">
        <f>G71*Assumptions!G58</f>
        <v>0</v>
      </c>
      <c r="H72" s="348">
        <f>H71*Assumptions!G58</f>
        <v>0</v>
      </c>
      <c r="I72" s="348">
        <f>I71*Assumptions!G58</f>
        <v>0</v>
      </c>
      <c r="J72" s="348">
        <f>J71*Assumptions!G58</f>
        <v>0</v>
      </c>
      <c r="K72" s="348">
        <f>K71*Assumptions!G58</f>
        <v>0</v>
      </c>
      <c r="L72" s="348">
        <f>L71*Assumptions!G58</f>
        <v>0</v>
      </c>
      <c r="M72" s="348">
        <f>M71*Assumptions!G58</f>
        <v>0</v>
      </c>
      <c r="N72" s="348">
        <f>N71*Assumptions!G58</f>
        <v>0</v>
      </c>
      <c r="O72" s="347">
        <f t="shared" ref="O72" si="7">SUM(C72:N72)</f>
        <v>0</v>
      </c>
      <c r="P72" s="333"/>
    </row>
    <row r="73" spans="2:16" ht="14" customHeight="1" x14ac:dyDescent="0.35">
      <c r="P73" s="333"/>
    </row>
    <row r="74" spans="2:16" ht="14" customHeight="1" x14ac:dyDescent="0.35">
      <c r="P74" s="333"/>
    </row>
    <row r="75" spans="2:16" ht="14" customHeight="1" x14ac:dyDescent="0.35">
      <c r="B75" s="27" t="s">
        <v>230</v>
      </c>
      <c r="C75" s="345">
        <v>2019</v>
      </c>
      <c r="D75" s="345">
        <v>2020</v>
      </c>
      <c r="E75" s="325">
        <v>2021</v>
      </c>
      <c r="F75" s="345">
        <v>2022</v>
      </c>
      <c r="G75" s="345">
        <v>2023</v>
      </c>
      <c r="H75" s="345" t="s">
        <v>16</v>
      </c>
      <c r="P75" s="333"/>
    </row>
    <row r="76" spans="2:16" ht="14" customHeight="1" x14ac:dyDescent="0.35">
      <c r="B76" s="323" t="s">
        <v>233</v>
      </c>
      <c r="C76" s="320">
        <f>'Forecast Sold Cars'!C173</f>
        <v>49281.479999999996</v>
      </c>
      <c r="D76" s="320">
        <f>'Forecast Sold Cars'!D173</f>
        <v>59137.775999999998</v>
      </c>
      <c r="E76" s="326">
        <f>O68</f>
        <v>82792.886399999988</v>
      </c>
      <c r="F76" s="320">
        <f>'Forecast Sold Cars'!F173</f>
        <v>165585.77279999998</v>
      </c>
      <c r="G76" s="320">
        <f>'Forecast Sold Cars'!G173</f>
        <v>331171.54559999995</v>
      </c>
      <c r="H76" s="320">
        <f>SUM(C76:G76)</f>
        <v>687969.46079999988</v>
      </c>
      <c r="P76" s="333"/>
    </row>
    <row r="77" spans="2:16" ht="14" customHeight="1" x14ac:dyDescent="0.35">
      <c r="B77" s="30" t="s">
        <v>227</v>
      </c>
      <c r="C77" s="348">
        <v>0</v>
      </c>
      <c r="D77" s="348">
        <v>0</v>
      </c>
      <c r="E77" s="326">
        <f>O69</f>
        <v>827.92886399999998</v>
      </c>
      <c r="F77" s="348">
        <f>'Forecast Sold Cars'!F175</f>
        <v>2483.7865919999995</v>
      </c>
      <c r="G77" s="348">
        <f>'Forecast Sold Cars'!G175</f>
        <v>8279.2886399999988</v>
      </c>
      <c r="H77" s="348">
        <f>SUM(D77:G77)</f>
        <v>11591.004095999999</v>
      </c>
      <c r="P77" s="333"/>
    </row>
    <row r="78" spans="2:16" ht="14" customHeight="1" x14ac:dyDescent="0.35">
      <c r="B78" s="31" t="s">
        <v>236</v>
      </c>
      <c r="C78" s="51">
        <v>0</v>
      </c>
      <c r="D78" s="51">
        <v>0</v>
      </c>
      <c r="E78" s="326">
        <f>O70</f>
        <v>620.94664799999998</v>
      </c>
      <c r="F78" s="51">
        <f>F76*Assumptions!H56</f>
        <v>4967.5731839999989</v>
      </c>
      <c r="G78" s="51">
        <f>G76*Assumptions!I56</f>
        <v>33117.154559999995</v>
      </c>
      <c r="H78" s="51">
        <f>SUM(D78:G78)</f>
        <v>38705.674391999994</v>
      </c>
      <c r="P78" s="333"/>
    </row>
    <row r="79" spans="2:16" ht="14" customHeight="1" x14ac:dyDescent="0.35">
      <c r="B79" s="32" t="s">
        <v>234</v>
      </c>
      <c r="C79" s="348">
        <v>0</v>
      </c>
      <c r="D79" s="348">
        <v>0</v>
      </c>
      <c r="E79" s="326">
        <f>O71</f>
        <v>391.85148263917716</v>
      </c>
      <c r="F79" s="348">
        <f>F78+E79-(E79*Assumptions!H57)</f>
        <v>5320.2395183752587</v>
      </c>
      <c r="G79" s="348">
        <f>G78+F79-(F79*Assumptions!I57)</f>
        <v>37905.370126537731</v>
      </c>
      <c r="H79" s="349">
        <f>G79</f>
        <v>37905.370126537731</v>
      </c>
      <c r="P79" s="333"/>
    </row>
    <row r="80" spans="2:16" ht="14" customHeight="1" x14ac:dyDescent="0.35">
      <c r="B80" s="32" t="s">
        <v>231</v>
      </c>
      <c r="C80" s="348">
        <v>0</v>
      </c>
      <c r="D80" s="348">
        <v>0</v>
      </c>
      <c r="E80" s="326">
        <f>O72</f>
        <v>0</v>
      </c>
      <c r="F80" s="348">
        <f>F79*Assumptions!H58</f>
        <v>42561.91614700207</v>
      </c>
      <c r="G80" s="348">
        <f>G79*Assumptions!I58</f>
        <v>341148.3311388396</v>
      </c>
      <c r="H80" s="349">
        <f>SUM(D80:G80)</f>
        <v>383710.24728584167</v>
      </c>
      <c r="P80" s="333"/>
    </row>
    <row r="81" spans="2:16" ht="14" customHeight="1" x14ac:dyDescent="0.35">
      <c r="B81" s="337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18"/>
      <c r="P81" s="333"/>
    </row>
    <row r="82" spans="2:16" ht="14" customHeight="1" x14ac:dyDescent="0.35">
      <c r="B82" s="335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18"/>
      <c r="P82" s="333"/>
    </row>
    <row r="86" spans="2:16" ht="14" customHeight="1" thickBot="1" x14ac:dyDescent="0.4"/>
    <row r="87" spans="2:16" ht="14" customHeight="1" x14ac:dyDescent="0.35">
      <c r="B87" s="80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90" spans="2:16" s="47" customFormat="1" ht="20" customHeight="1" x14ac:dyDescent="0.35">
      <c r="B90" s="40" t="s">
        <v>25</v>
      </c>
      <c r="C90" s="58"/>
    </row>
    <row r="91" spans="2:16" ht="14" customHeight="1" x14ac:dyDescent="0.35">
      <c r="B91" s="27" t="s">
        <v>230</v>
      </c>
      <c r="C91" s="350">
        <v>2019</v>
      </c>
      <c r="D91" s="350">
        <v>2020</v>
      </c>
      <c r="E91" s="350">
        <v>2021</v>
      </c>
      <c r="F91" s="350">
        <v>2022</v>
      </c>
      <c r="G91" s="350">
        <v>2023</v>
      </c>
      <c r="H91" s="350" t="s">
        <v>16</v>
      </c>
    </row>
    <row r="92" spans="2:16" s="47" customFormat="1" ht="14" customHeight="1" x14ac:dyDescent="0.35">
      <c r="B92" s="323" t="s">
        <v>233</v>
      </c>
      <c r="C92" s="320">
        <f>C13+C76+C55+C34</f>
        <v>192890.72</v>
      </c>
      <c r="D92" s="320">
        <f>SUM(D76,D55,D34,D13)</f>
        <v>246734.19559999998</v>
      </c>
      <c r="E92" s="320">
        <f>SUM(E76,E55,E34,E13)</f>
        <v>365516.22976000002</v>
      </c>
      <c r="F92" s="320">
        <f>SUM(F76,F55,F34,F13)</f>
        <v>731032.45951999992</v>
      </c>
      <c r="G92" s="320">
        <f>SUM(G76,G55,G34,G13)</f>
        <v>1462064.9190399998</v>
      </c>
      <c r="H92" s="320">
        <f>SUM(C92:G92)</f>
        <v>2998238.5239199996</v>
      </c>
    </row>
    <row r="93" spans="2:16" s="47" customFormat="1" ht="14" customHeight="1" x14ac:dyDescent="0.35">
      <c r="B93" s="30" t="s">
        <v>227</v>
      </c>
      <c r="C93" s="79">
        <f>C14</f>
        <v>96.960000000000008</v>
      </c>
      <c r="D93" s="79">
        <f>D14+D35</f>
        <v>886.59119550000014</v>
      </c>
      <c r="E93" s="351">
        <f>E14+E56+E35+E77</f>
        <v>5382.2887647999996</v>
      </c>
      <c r="F93" s="79">
        <f t="shared" ref="F93:G96" si="8">SUM(F77,F56,F35,F14)</f>
        <v>19415.542207999999</v>
      </c>
      <c r="G93" s="79">
        <f t="shared" si="8"/>
        <v>65566.265395199996</v>
      </c>
      <c r="H93" s="79">
        <f>SUM(C93:G93)</f>
        <v>91347.647563499995</v>
      </c>
    </row>
    <row r="94" spans="2:16" s="47" customFormat="1" ht="14" customHeight="1" x14ac:dyDescent="0.35">
      <c r="B94" s="31" t="s">
        <v>236</v>
      </c>
      <c r="C94" s="51">
        <f>C15</f>
        <v>0</v>
      </c>
      <c r="D94" s="51">
        <f>SUM(D15,D36)</f>
        <v>1582.8467932500002</v>
      </c>
      <c r="E94" s="320">
        <f>SUM(E78,E57,E36,E15)</f>
        <v>9839.6917888000025</v>
      </c>
      <c r="F94" s="51">
        <f t="shared" si="8"/>
        <v>46858.348416000001</v>
      </c>
      <c r="G94" s="51">
        <f t="shared" si="8"/>
        <v>185093.46137599999</v>
      </c>
      <c r="H94" s="51">
        <f>SUM(D94:G94)</f>
        <v>243374.34837404999</v>
      </c>
    </row>
    <row r="95" spans="2:16" s="47" customFormat="1" ht="14" customHeight="1" x14ac:dyDescent="0.35">
      <c r="B95" s="32" t="s">
        <v>234</v>
      </c>
      <c r="C95" s="79">
        <f>C16</f>
        <v>0</v>
      </c>
      <c r="D95" s="79">
        <f>SUM(D16,D37)</f>
        <v>1404.6196229899442</v>
      </c>
      <c r="E95" s="351">
        <f>SUM(E79,E58,E37,E16)</f>
        <v>10438.948063702239</v>
      </c>
      <c r="F95" s="79">
        <f t="shared" si="8"/>
        <v>56253.401673332017</v>
      </c>
      <c r="G95" s="79">
        <f t="shared" si="8"/>
        <v>235721.5228819988</v>
      </c>
      <c r="H95" s="352">
        <f>G95</f>
        <v>235721.5228819988</v>
      </c>
    </row>
    <row r="96" spans="2:16" s="47" customFormat="1" ht="14" customHeight="1" x14ac:dyDescent="0.35">
      <c r="B96" s="32" t="s">
        <v>231</v>
      </c>
      <c r="C96" s="79">
        <f>C17</f>
        <v>0</v>
      </c>
      <c r="D96" s="79">
        <f>SUM(D17,D38)</f>
        <v>8094.7200000000012</v>
      </c>
      <c r="E96" s="351">
        <f>SUM(E80,E59,E38,E17)</f>
        <v>81770.072651927621</v>
      </c>
      <c r="F96" s="79">
        <f t="shared" si="8"/>
        <v>514813.31363199791</v>
      </c>
      <c r="G96" s="79">
        <f t="shared" si="8"/>
        <v>2252663.9356147968</v>
      </c>
      <c r="H96" s="352">
        <f>SUM(D96:G96)</f>
        <v>2857342.0418987223</v>
      </c>
    </row>
    <row r="98" spans="2:8" s="47" customFormat="1" ht="14" customHeight="1" x14ac:dyDescent="0.35">
      <c r="B98" s="29"/>
      <c r="C98" s="58">
        <v>2019</v>
      </c>
      <c r="D98" s="58">
        <v>2020</v>
      </c>
      <c r="E98" s="58">
        <v>2021</v>
      </c>
      <c r="F98" s="58">
        <v>2022</v>
      </c>
      <c r="G98" s="58">
        <v>2023</v>
      </c>
    </row>
    <row r="99" spans="2:8" s="47" customFormat="1" ht="14" customHeight="1" x14ac:dyDescent="0.35">
      <c r="B99" s="30" t="s">
        <v>234</v>
      </c>
      <c r="C99" s="155"/>
      <c r="D99" s="155" t="e">
        <f>D95/C95</f>
        <v>#DIV/0!</v>
      </c>
      <c r="E99" s="155">
        <f>E95/D95</f>
        <v>7.431868309999377</v>
      </c>
      <c r="F99" s="155">
        <f>F95/E95</f>
        <v>5.3887998417133032</v>
      </c>
      <c r="G99" s="155">
        <f>G95/F95</f>
        <v>4.1903514431154303</v>
      </c>
      <c r="H99" s="155"/>
    </row>
    <row r="100" spans="2:8" s="47" customFormat="1" ht="14" customHeight="1" x14ac:dyDescent="0.35">
      <c r="B100" s="126" t="s">
        <v>32</v>
      </c>
      <c r="C100" s="147"/>
      <c r="D100" s="147">
        <f t="shared" ref="D100:G101" si="9">D93/C93</f>
        <v>9.1438860922029708</v>
      </c>
      <c r="E100" s="147">
        <f t="shared" si="9"/>
        <v>6.0707672173132909</v>
      </c>
      <c r="F100" s="147">
        <f t="shared" si="9"/>
        <v>3.6073022196387972</v>
      </c>
      <c r="G100" s="147">
        <f t="shared" si="9"/>
        <v>3.3769989368715136</v>
      </c>
      <c r="H100" s="147"/>
    </row>
    <row r="101" spans="2:8" s="47" customFormat="1" ht="14" customHeight="1" x14ac:dyDescent="0.35">
      <c r="B101" s="126" t="s">
        <v>235</v>
      </c>
      <c r="C101" s="147"/>
      <c r="D101" s="147" t="e">
        <f t="shared" si="9"/>
        <v>#DIV/0!</v>
      </c>
      <c r="E101" s="147">
        <f t="shared" si="9"/>
        <v>6.2164524265778942</v>
      </c>
      <c r="F101" s="147">
        <f t="shared" si="9"/>
        <v>4.7621764402556153</v>
      </c>
      <c r="G101" s="147">
        <f t="shared" si="9"/>
        <v>3.9500637054633998</v>
      </c>
      <c r="H101" s="147"/>
    </row>
    <row r="102" spans="2:8" s="47" customFormat="1" ht="14" customHeight="1" x14ac:dyDescent="0.35">
      <c r="B102" s="156" t="s">
        <v>231</v>
      </c>
      <c r="C102" s="157"/>
      <c r="D102" s="157" t="e">
        <f>D96/C96</f>
        <v>#DIV/0!</v>
      </c>
      <c r="E102" s="157">
        <f>E96/D96</f>
        <v>10.101655480600639</v>
      </c>
      <c r="F102" s="157">
        <f>F96/E96</f>
        <v>6.295864696408116</v>
      </c>
      <c r="G102" s="157">
        <f>G96/F96</f>
        <v>4.3756909076851498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81EAC-B732-408B-9E08-CF590F4966FF}">
  <dimension ref="B2:Z210"/>
  <sheetViews>
    <sheetView showGridLines="0" topLeftCell="E1" zoomScale="60" zoomScaleNormal="60" workbookViewId="0">
      <selection activeCell="S29" sqref="S29"/>
    </sheetView>
  </sheetViews>
  <sheetFormatPr baseColWidth="10" defaultColWidth="14.6328125" defaultRowHeight="14" customHeight="1" x14ac:dyDescent="0.3"/>
  <cols>
    <col min="1" max="1" width="9.36328125" style="3" customWidth="1"/>
    <col min="2" max="2" width="30" style="3" customWidth="1"/>
    <col min="3" max="7" width="14.6328125" style="8"/>
    <col min="8" max="8" width="16.1796875" style="8" bestFit="1" customWidth="1"/>
    <col min="9" max="15" width="14.6328125" style="8"/>
    <col min="16" max="17" width="14.6328125" style="3"/>
    <col min="18" max="18" width="23.08984375" style="3" customWidth="1"/>
    <col min="19" max="25" width="14.6328125" style="8"/>
    <col min="26" max="16384" width="14.6328125" style="3"/>
  </cols>
  <sheetData>
    <row r="2" spans="2:24" ht="20" customHeight="1" x14ac:dyDescent="0.4">
      <c r="B2" s="87" t="s">
        <v>48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4" spans="2:24" ht="14" customHeight="1" x14ac:dyDescent="0.3">
      <c r="B4" s="7" t="s">
        <v>132</v>
      </c>
      <c r="M4" s="1"/>
      <c r="N4" s="1"/>
      <c r="O4" s="1"/>
      <c r="P4" s="6"/>
      <c r="Q4" s="94"/>
      <c r="R4" s="7" t="s">
        <v>34</v>
      </c>
    </row>
    <row r="5" spans="2:24" ht="14" customHeight="1" x14ac:dyDescent="0.3">
      <c r="C5" s="82" t="s">
        <v>139</v>
      </c>
      <c r="D5" s="82" t="s">
        <v>140</v>
      </c>
      <c r="E5" s="82" t="s">
        <v>141</v>
      </c>
      <c r="F5" s="82" t="s">
        <v>142</v>
      </c>
      <c r="G5" s="82" t="s">
        <v>143</v>
      </c>
      <c r="H5" s="82" t="s">
        <v>144</v>
      </c>
      <c r="I5" s="82" t="s">
        <v>145</v>
      </c>
      <c r="J5" s="82" t="s">
        <v>146</v>
      </c>
      <c r="K5" s="82" t="s">
        <v>147</v>
      </c>
      <c r="L5" s="82" t="s">
        <v>148</v>
      </c>
      <c r="M5" s="82" t="s">
        <v>149</v>
      </c>
      <c r="N5" s="82" t="s">
        <v>150</v>
      </c>
      <c r="O5" s="82" t="s">
        <v>16</v>
      </c>
      <c r="P5" s="6"/>
      <c r="Q5" s="94"/>
      <c r="R5" s="20" t="s">
        <v>34</v>
      </c>
      <c r="S5" s="82">
        <v>2019</v>
      </c>
      <c r="T5" s="82">
        <v>2020</v>
      </c>
      <c r="U5" s="82">
        <v>2021</v>
      </c>
      <c r="V5" s="82">
        <v>2022</v>
      </c>
      <c r="W5" s="82">
        <v>2023</v>
      </c>
      <c r="X5" s="82" t="s">
        <v>16</v>
      </c>
    </row>
    <row r="6" spans="2:24" ht="14" customHeight="1" x14ac:dyDescent="0.3">
      <c r="B6" s="8" t="s">
        <v>26</v>
      </c>
      <c r="C6" s="175">
        <f>C23</f>
        <v>0</v>
      </c>
      <c r="D6" s="175">
        <f t="shared" ref="D6:N6" si="0">D23</f>
        <v>0</v>
      </c>
      <c r="E6" s="175">
        <f t="shared" si="0"/>
        <v>0</v>
      </c>
      <c r="F6" s="175">
        <f t="shared" si="0"/>
        <v>0</v>
      </c>
      <c r="G6" s="175">
        <f t="shared" si="0"/>
        <v>0</v>
      </c>
      <c r="H6" s="175">
        <f t="shared" si="0"/>
        <v>0</v>
      </c>
      <c r="I6" s="175">
        <f t="shared" si="0"/>
        <v>0</v>
      </c>
      <c r="J6" s="175">
        <f t="shared" si="0"/>
        <v>0</v>
      </c>
      <c r="K6" s="175">
        <f t="shared" si="0"/>
        <v>9865.8560000000016</v>
      </c>
      <c r="L6" s="175">
        <f t="shared" si="0"/>
        <v>11807.488000000001</v>
      </c>
      <c r="M6" s="175">
        <f t="shared" si="0"/>
        <v>13197.184000000001</v>
      </c>
      <c r="N6" s="175">
        <f t="shared" si="0"/>
        <v>24856.832000000002</v>
      </c>
      <c r="O6" s="181">
        <f>SUM(C6:N6)</f>
        <v>59727.360000000008</v>
      </c>
      <c r="P6" s="4"/>
      <c r="Q6" s="95"/>
      <c r="R6" s="8" t="s">
        <v>26</v>
      </c>
      <c r="S6" s="14">
        <f>O23</f>
        <v>59727.360000000008</v>
      </c>
      <c r="T6" s="14">
        <f>T23</f>
        <v>280482.04800000007</v>
      </c>
      <c r="U6" s="14">
        <f>U23</f>
        <v>715229.22240000032</v>
      </c>
      <c r="V6" s="14">
        <f>V23</f>
        <v>1830986.8093440006</v>
      </c>
      <c r="W6" s="14">
        <f>W23</f>
        <v>5492960.4280320015</v>
      </c>
      <c r="X6" s="14">
        <f>SUM(S6:W6)</f>
        <v>8379385.8677760027</v>
      </c>
    </row>
    <row r="7" spans="2:24" ht="14" customHeight="1" x14ac:dyDescent="0.3">
      <c r="B7" s="8" t="s">
        <v>27</v>
      </c>
      <c r="C7" s="174">
        <f>C30</f>
        <v>0</v>
      </c>
      <c r="D7" s="174">
        <f t="shared" ref="D7:N7" si="1">D30</f>
        <v>0</v>
      </c>
      <c r="E7" s="174">
        <f t="shared" si="1"/>
        <v>0</v>
      </c>
      <c r="F7" s="174">
        <f t="shared" si="1"/>
        <v>0</v>
      </c>
      <c r="G7" s="174">
        <f t="shared" si="1"/>
        <v>0</v>
      </c>
      <c r="H7" s="174">
        <f t="shared" si="1"/>
        <v>0</v>
      </c>
      <c r="I7" s="174">
        <f t="shared" si="1"/>
        <v>0</v>
      </c>
      <c r="J7" s="174">
        <f t="shared" si="1"/>
        <v>0</v>
      </c>
      <c r="K7" s="174">
        <f t="shared" si="1"/>
        <v>12812.800000000001</v>
      </c>
      <c r="L7" s="174">
        <f t="shared" si="1"/>
        <v>15334.400000000001</v>
      </c>
      <c r="M7" s="174">
        <f t="shared" si="1"/>
        <v>17139.2</v>
      </c>
      <c r="N7" s="174">
        <f t="shared" si="1"/>
        <v>32281.600000000002</v>
      </c>
      <c r="O7" s="174">
        <f>SUM(C7:N7)</f>
        <v>77568.000000000015</v>
      </c>
      <c r="P7" s="6"/>
      <c r="Q7" s="96"/>
      <c r="R7" s="8" t="s">
        <v>27</v>
      </c>
      <c r="S7" s="83">
        <f>O30</f>
        <v>77568.000000000015</v>
      </c>
      <c r="T7" s="83">
        <f>T30</f>
        <v>364262.40000000002</v>
      </c>
      <c r="U7" s="83">
        <f>U30</f>
        <v>928869.12000000034</v>
      </c>
      <c r="V7" s="83">
        <f>V30</f>
        <v>2377904.9472000003</v>
      </c>
      <c r="W7" s="83">
        <f>W30</f>
        <v>7133714.8416000018</v>
      </c>
      <c r="X7" s="83">
        <f>SUM(S7:W7)</f>
        <v>10882319.308800003</v>
      </c>
    </row>
    <row r="8" spans="2:24" ht="14" customHeight="1" x14ac:dyDescent="0.3">
      <c r="B8" s="8" t="s">
        <v>241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f>K38</f>
        <v>0</v>
      </c>
      <c r="L8" s="181">
        <f t="shared" ref="L8:N8" si="2">L38</f>
        <v>0</v>
      </c>
      <c r="M8" s="181">
        <f t="shared" si="2"/>
        <v>0</v>
      </c>
      <c r="N8" s="181">
        <f t="shared" si="2"/>
        <v>0</v>
      </c>
      <c r="O8" s="181">
        <f>O38</f>
        <v>0</v>
      </c>
      <c r="P8" s="6"/>
      <c r="Q8" s="96"/>
      <c r="R8" s="8" t="s">
        <v>241</v>
      </c>
      <c r="S8" s="181">
        <f>O8</f>
        <v>0</v>
      </c>
      <c r="T8" s="264">
        <f>T38</f>
        <v>80947.200000000012</v>
      </c>
      <c r="U8" s="264">
        <f t="shared" ref="U8:W8" si="3">U38</f>
        <v>597997.44000000018</v>
      </c>
      <c r="V8" s="264">
        <f t="shared" si="3"/>
        <v>2318125.4400000004</v>
      </c>
      <c r="W8" s="264">
        <f t="shared" si="3"/>
        <v>6673320.8960000016</v>
      </c>
      <c r="X8" s="181">
        <f>SUM(S8:W8)</f>
        <v>9670390.9760000017</v>
      </c>
    </row>
    <row r="9" spans="2:24" ht="14" customHeight="1" x14ac:dyDescent="0.3">
      <c r="B9" s="10" t="s">
        <v>28</v>
      </c>
      <c r="C9" s="184">
        <f t="shared" ref="C9:J9" si="4">SUM(C6:C7)</f>
        <v>0</v>
      </c>
      <c r="D9" s="184">
        <f t="shared" si="4"/>
        <v>0</v>
      </c>
      <c r="E9" s="184">
        <f t="shared" si="4"/>
        <v>0</v>
      </c>
      <c r="F9" s="184">
        <f t="shared" si="4"/>
        <v>0</v>
      </c>
      <c r="G9" s="184">
        <f t="shared" si="4"/>
        <v>0</v>
      </c>
      <c r="H9" s="184">
        <f t="shared" si="4"/>
        <v>0</v>
      </c>
      <c r="I9" s="184">
        <f t="shared" si="4"/>
        <v>0</v>
      </c>
      <c r="J9" s="184">
        <f t="shared" si="4"/>
        <v>0</v>
      </c>
      <c r="K9" s="184">
        <f>SUM(K6:K8)</f>
        <v>22678.656000000003</v>
      </c>
      <c r="L9" s="184">
        <f t="shared" ref="L9:N9" si="5">SUM(L6:L8)</f>
        <v>27141.888000000003</v>
      </c>
      <c r="M9" s="184">
        <f t="shared" si="5"/>
        <v>30336.384000000002</v>
      </c>
      <c r="N9" s="184">
        <f t="shared" si="5"/>
        <v>57138.432000000001</v>
      </c>
      <c r="O9" s="183">
        <f>SUM(C9:N9)</f>
        <v>137295.36000000002</v>
      </c>
      <c r="P9" s="11"/>
      <c r="Q9" s="96"/>
      <c r="R9" s="10" t="s">
        <v>28</v>
      </c>
      <c r="S9" s="385">
        <f>SUM(S6:S8)</f>
        <v>137295.36000000002</v>
      </c>
      <c r="T9" s="385">
        <f t="shared" ref="T9:W9" si="6">SUM(T6:T8)</f>
        <v>725691.64800000004</v>
      </c>
      <c r="U9" s="385">
        <f t="shared" si="6"/>
        <v>2242095.7824000008</v>
      </c>
      <c r="V9" s="385">
        <f t="shared" si="6"/>
        <v>6527017.1965440018</v>
      </c>
      <c r="W9" s="385">
        <f t="shared" si="6"/>
        <v>19299996.165632006</v>
      </c>
      <c r="X9" s="386">
        <f>SUM(S9:W9)</f>
        <v>28932096.152576007</v>
      </c>
    </row>
    <row r="10" spans="2:24" ht="14" customHeight="1" x14ac:dyDescent="0.3">
      <c r="B10" s="6"/>
      <c r="C10" s="41"/>
      <c r="D10" s="41"/>
      <c r="E10" s="41"/>
      <c r="F10" s="41"/>
      <c r="G10" s="41"/>
      <c r="H10" s="1"/>
      <c r="I10" s="1"/>
      <c r="J10" s="1"/>
      <c r="K10" s="1"/>
      <c r="L10" s="1"/>
      <c r="M10" s="1"/>
      <c r="N10" s="1"/>
      <c r="O10" s="1"/>
      <c r="P10" s="6"/>
      <c r="Q10" s="94"/>
      <c r="R10" s="6"/>
      <c r="S10" s="1"/>
      <c r="T10" s="1"/>
      <c r="U10" s="1"/>
      <c r="V10" s="1"/>
      <c r="W10" s="1"/>
      <c r="X10" s="1"/>
    </row>
    <row r="11" spans="2:24" ht="14" customHeight="1" x14ac:dyDescent="0.3">
      <c r="C11" s="42"/>
      <c r="D11" s="42"/>
      <c r="E11" s="42"/>
      <c r="F11" s="42"/>
      <c r="G11" s="42"/>
      <c r="Q11" s="97"/>
    </row>
    <row r="12" spans="2:24" ht="14" customHeight="1" x14ac:dyDescent="0.3">
      <c r="C12" s="42"/>
      <c r="D12" s="42"/>
      <c r="E12" s="42"/>
      <c r="F12" s="42"/>
      <c r="G12" s="42"/>
      <c r="Q12" s="97"/>
    </row>
    <row r="13" spans="2:24" ht="14" customHeight="1" x14ac:dyDescent="0.3">
      <c r="Q13" s="97"/>
      <c r="R13" s="6"/>
      <c r="S13" s="1"/>
      <c r="T13" s="1"/>
      <c r="U13" s="1"/>
    </row>
    <row r="14" spans="2:24" ht="14" customHeight="1" x14ac:dyDescent="0.3">
      <c r="B14" s="7" t="s">
        <v>133</v>
      </c>
      <c r="Q14" s="97"/>
      <c r="R14" s="7" t="s">
        <v>29</v>
      </c>
      <c r="T14" s="117"/>
      <c r="U14" s="117"/>
      <c r="V14" s="117"/>
      <c r="W14" s="117"/>
    </row>
    <row r="15" spans="2:24" ht="14" customHeight="1" x14ac:dyDescent="0.3">
      <c r="B15" s="12"/>
      <c r="C15" s="82" t="s">
        <v>139</v>
      </c>
      <c r="D15" s="82" t="s">
        <v>140</v>
      </c>
      <c r="E15" s="82" t="s">
        <v>141</v>
      </c>
      <c r="F15" s="82" t="s">
        <v>142</v>
      </c>
      <c r="G15" s="82" t="s">
        <v>143</v>
      </c>
      <c r="H15" s="82" t="s">
        <v>144</v>
      </c>
      <c r="I15" s="82" t="s">
        <v>145</v>
      </c>
      <c r="J15" s="82" t="s">
        <v>146</v>
      </c>
      <c r="K15" s="82" t="s">
        <v>147</v>
      </c>
      <c r="L15" s="82" t="s">
        <v>148</v>
      </c>
      <c r="M15" s="82" t="s">
        <v>149</v>
      </c>
      <c r="N15" s="82" t="s">
        <v>150</v>
      </c>
      <c r="O15" s="82" t="s">
        <v>16</v>
      </c>
      <c r="P15" s="4"/>
      <c r="Q15" s="97"/>
      <c r="R15" s="12"/>
      <c r="S15" s="82">
        <v>2019</v>
      </c>
      <c r="T15" s="82">
        <v>2020</v>
      </c>
      <c r="U15" s="82">
        <v>2021</v>
      </c>
      <c r="V15" s="82">
        <v>2022</v>
      </c>
      <c r="W15" s="82">
        <v>2023</v>
      </c>
      <c r="X15" s="82" t="s">
        <v>16</v>
      </c>
    </row>
    <row r="16" spans="2:24" ht="14" customHeight="1" x14ac:dyDescent="0.3">
      <c r="B16" s="10" t="s">
        <v>123</v>
      </c>
      <c r="C16" s="13">
        <f>Assumptions!$E$63*Income!C22</f>
        <v>0</v>
      </c>
      <c r="D16" s="13">
        <f>Assumptions!$E$63*Income!D22</f>
        <v>0</v>
      </c>
      <c r="E16" s="13">
        <f>Assumptions!$E$63*Income!E22</f>
        <v>0</v>
      </c>
      <c r="F16" s="13">
        <f>Assumptions!$E$63*Income!F22</f>
        <v>0</v>
      </c>
      <c r="G16" s="13">
        <f>Assumptions!$E$63*Income!G22</f>
        <v>0</v>
      </c>
      <c r="H16" s="13">
        <f>Assumptions!$E$63*Income!H22</f>
        <v>0</v>
      </c>
      <c r="I16" s="13">
        <f>Assumptions!$E$63*Income!I22</f>
        <v>0</v>
      </c>
      <c r="J16" s="13">
        <f>Assumptions!$E$63*Income!J22</f>
        <v>0</v>
      </c>
      <c r="K16" s="13">
        <f>Assumptions!$E$63*Income!K22</f>
        <v>9.6096000000000004</v>
      </c>
      <c r="L16" s="13">
        <f>Assumptions!$E$63*Income!L22</f>
        <v>11.500800000000002</v>
      </c>
      <c r="M16" s="13">
        <f>Assumptions!$E$63*Income!M22</f>
        <v>12.854400000000002</v>
      </c>
      <c r="N16" s="13">
        <f>Assumptions!$E$63*Income!N22</f>
        <v>24.211200000000002</v>
      </c>
      <c r="O16" s="13">
        <f>SUM(C16:N16)</f>
        <v>58.176000000000002</v>
      </c>
      <c r="Q16" s="97"/>
      <c r="R16" s="10" t="s">
        <v>123</v>
      </c>
      <c r="S16" s="171">
        <f>O16</f>
        <v>58.176000000000002</v>
      </c>
      <c r="T16" s="171">
        <f>Assumptions!F76*Income!T22</f>
        <v>303.55200000000002</v>
      </c>
      <c r="U16" s="171">
        <f>Assumptions!G76*Income!U22</f>
        <v>860.06400000000031</v>
      </c>
      <c r="V16" s="171">
        <f>Assumptions!H76*Income!V22</f>
        <v>2752.2048000000004</v>
      </c>
      <c r="W16" s="171">
        <f>Assumptions!I76*Income!W22</f>
        <v>10320.768000000002</v>
      </c>
      <c r="X16" s="171">
        <f t="shared" ref="X16:X23" si="7">SUM(S16:W16)</f>
        <v>14294.764800000003</v>
      </c>
    </row>
    <row r="17" spans="2:24" ht="14" customHeight="1" x14ac:dyDescent="0.3">
      <c r="B17" s="8" t="s">
        <v>31</v>
      </c>
      <c r="C17" s="174">
        <f>Assumptions!$E$79</f>
        <v>660</v>
      </c>
      <c r="D17" s="174">
        <f>Assumptions!$E$79</f>
        <v>660</v>
      </c>
      <c r="E17" s="174">
        <f>Assumptions!$E$79</f>
        <v>660</v>
      </c>
      <c r="F17" s="174">
        <f>Assumptions!$E$79</f>
        <v>660</v>
      </c>
      <c r="G17" s="174">
        <f>Assumptions!$E$79</f>
        <v>660</v>
      </c>
      <c r="H17" s="174">
        <f>Assumptions!$E$79</f>
        <v>660</v>
      </c>
      <c r="I17" s="174">
        <f>Assumptions!$E$79</f>
        <v>660</v>
      </c>
      <c r="J17" s="174">
        <f>Assumptions!$E$79</f>
        <v>660</v>
      </c>
      <c r="K17" s="174">
        <f>Assumptions!$E$79</f>
        <v>660</v>
      </c>
      <c r="L17" s="174">
        <f>Assumptions!$E$79</f>
        <v>660</v>
      </c>
      <c r="M17" s="174">
        <f>Assumptions!$E$79</f>
        <v>660</v>
      </c>
      <c r="N17" s="174">
        <f>Assumptions!$E$79</f>
        <v>660</v>
      </c>
      <c r="O17" s="174"/>
      <c r="Q17" s="97"/>
      <c r="R17" s="8" t="s">
        <v>31</v>
      </c>
      <c r="S17" s="176">
        <f>Assumptions!E79</f>
        <v>660</v>
      </c>
      <c r="T17" s="176">
        <f>Assumptions!F79</f>
        <v>594</v>
      </c>
      <c r="U17" s="176">
        <f>Assumptions!G79</f>
        <v>534.6</v>
      </c>
      <c r="V17" s="176">
        <f>Assumptions!H79</f>
        <v>427.68000000000006</v>
      </c>
      <c r="W17" s="176">
        <f>Assumptions!I79</f>
        <v>342.14400000000006</v>
      </c>
      <c r="X17" s="176"/>
    </row>
    <row r="18" spans="2:24" ht="14" customHeight="1" x14ac:dyDescent="0.3">
      <c r="B18" s="8" t="s">
        <v>135</v>
      </c>
      <c r="C18" s="175">
        <f>C16*C17</f>
        <v>0</v>
      </c>
      <c r="D18" s="175">
        <f t="shared" ref="D18:N18" si="8">D16*D17</f>
        <v>0</v>
      </c>
      <c r="E18" s="175">
        <f t="shared" si="8"/>
        <v>0</v>
      </c>
      <c r="F18" s="175">
        <f t="shared" si="8"/>
        <v>0</v>
      </c>
      <c r="G18" s="175">
        <f t="shared" si="8"/>
        <v>0</v>
      </c>
      <c r="H18" s="175">
        <f t="shared" si="8"/>
        <v>0</v>
      </c>
      <c r="I18" s="175">
        <f t="shared" si="8"/>
        <v>0</v>
      </c>
      <c r="J18" s="175">
        <f t="shared" si="8"/>
        <v>0</v>
      </c>
      <c r="K18" s="175">
        <f t="shared" si="8"/>
        <v>6342.3360000000002</v>
      </c>
      <c r="L18" s="175">
        <f t="shared" si="8"/>
        <v>7590.5280000000012</v>
      </c>
      <c r="M18" s="175">
        <f t="shared" si="8"/>
        <v>8483.9040000000005</v>
      </c>
      <c r="N18" s="175">
        <f t="shared" si="8"/>
        <v>15979.392000000002</v>
      </c>
      <c r="O18" s="175">
        <f>SUM(C18:N18)</f>
        <v>38396.160000000003</v>
      </c>
      <c r="Q18" s="97"/>
      <c r="R18" s="8" t="s">
        <v>135</v>
      </c>
      <c r="S18" s="170">
        <f>S16*S17</f>
        <v>38396.160000000003</v>
      </c>
      <c r="T18" s="170">
        <f>T16*T17</f>
        <v>180309.88800000001</v>
      </c>
      <c r="U18" s="170">
        <f>U16*U17</f>
        <v>459790.21440000017</v>
      </c>
      <c r="V18" s="170">
        <f>V16*V17</f>
        <v>1177062.9488640004</v>
      </c>
      <c r="W18" s="170">
        <f>W16*W17</f>
        <v>3531188.8465920012</v>
      </c>
      <c r="X18" s="170">
        <f t="shared" si="7"/>
        <v>5386748.0578560019</v>
      </c>
    </row>
    <row r="19" spans="2:24" ht="14" customHeight="1" x14ac:dyDescent="0.3">
      <c r="B19" s="10" t="s">
        <v>124</v>
      </c>
      <c r="C19" s="84">
        <f>Assumptions!$E$64*Income!C22</f>
        <v>0</v>
      </c>
      <c r="D19" s="84">
        <f>Assumptions!$E$64*Income!D22</f>
        <v>0</v>
      </c>
      <c r="E19" s="84">
        <f>Assumptions!$E$64*Income!E22</f>
        <v>0</v>
      </c>
      <c r="F19" s="84">
        <f>Assumptions!$E$64*Income!F22</f>
        <v>0</v>
      </c>
      <c r="G19" s="84">
        <f>Assumptions!$E$64*Income!G22</f>
        <v>0</v>
      </c>
      <c r="H19" s="84">
        <f>Assumptions!$E$64*Income!H22</f>
        <v>0</v>
      </c>
      <c r="I19" s="84">
        <f>Assumptions!$E$64*Income!I22</f>
        <v>0</v>
      </c>
      <c r="J19" s="84">
        <f>Assumptions!$E$64*Income!J22</f>
        <v>0</v>
      </c>
      <c r="K19" s="84">
        <f>Assumptions!$E$64*Income!K22</f>
        <v>6.4064000000000014</v>
      </c>
      <c r="L19" s="84">
        <f>Assumptions!$E$64*Income!L22</f>
        <v>7.6672000000000011</v>
      </c>
      <c r="M19" s="84">
        <f>Assumptions!$E$64*Income!M22</f>
        <v>8.5696000000000012</v>
      </c>
      <c r="N19" s="84">
        <f>Assumptions!$E$64*Income!N22</f>
        <v>16.140800000000002</v>
      </c>
      <c r="O19" s="84">
        <f>SUM(C19:N19)</f>
        <v>38.784000000000006</v>
      </c>
      <c r="P19" s="8"/>
      <c r="Q19" s="98"/>
      <c r="R19" s="10" t="s">
        <v>124</v>
      </c>
      <c r="S19" s="173">
        <f>O19</f>
        <v>38.784000000000006</v>
      </c>
      <c r="T19" s="173">
        <f>Assumptions!F77*Income!T22</f>
        <v>202.36800000000005</v>
      </c>
      <c r="U19" s="173">
        <f>Assumptions!G77*Income!U22</f>
        <v>573.3760000000002</v>
      </c>
      <c r="V19" s="173">
        <f>Assumptions!H77*Income!V22</f>
        <v>1834.8032000000003</v>
      </c>
      <c r="W19" s="173">
        <f>Assumptions!I77*Income!W22</f>
        <v>6880.5120000000015</v>
      </c>
      <c r="X19" s="173">
        <f t="shared" si="7"/>
        <v>9529.843200000003</v>
      </c>
    </row>
    <row r="20" spans="2:24" ht="14" customHeight="1" x14ac:dyDescent="0.3">
      <c r="B20" s="8" t="s">
        <v>31</v>
      </c>
      <c r="C20" s="175">
        <f>Assumptions!$E$67</f>
        <v>550</v>
      </c>
      <c r="D20" s="175">
        <f>Assumptions!$E$67</f>
        <v>550</v>
      </c>
      <c r="E20" s="175">
        <f>Assumptions!$E$67</f>
        <v>550</v>
      </c>
      <c r="F20" s="175">
        <f>Assumptions!$E$67</f>
        <v>550</v>
      </c>
      <c r="G20" s="175">
        <f>Assumptions!$E$67</f>
        <v>550</v>
      </c>
      <c r="H20" s="175">
        <f>Assumptions!$E$67</f>
        <v>550</v>
      </c>
      <c r="I20" s="175">
        <f>Assumptions!$E$67</f>
        <v>550</v>
      </c>
      <c r="J20" s="175">
        <f>Assumptions!$E$67</f>
        <v>550</v>
      </c>
      <c r="K20" s="175">
        <f>Assumptions!$E$67</f>
        <v>550</v>
      </c>
      <c r="L20" s="175">
        <f>Assumptions!$E$67</f>
        <v>550</v>
      </c>
      <c r="M20" s="175">
        <f>Assumptions!$E$67</f>
        <v>550</v>
      </c>
      <c r="N20" s="175">
        <f>Assumptions!$E$67</f>
        <v>550</v>
      </c>
      <c r="O20" s="175"/>
      <c r="P20" s="8"/>
      <c r="Q20" s="98"/>
      <c r="R20" s="8" t="s">
        <v>31</v>
      </c>
      <c r="S20" s="170">
        <f>Assumptions!E80</f>
        <v>550</v>
      </c>
      <c r="T20" s="170">
        <f>Assumptions!F80</f>
        <v>495</v>
      </c>
      <c r="U20" s="170">
        <f>Assumptions!G80</f>
        <v>445.5</v>
      </c>
      <c r="V20" s="170">
        <f>Assumptions!H80</f>
        <v>356.40000000000003</v>
      </c>
      <c r="W20" s="170">
        <f>Assumptions!I80</f>
        <v>285.12000000000006</v>
      </c>
      <c r="X20" s="170"/>
    </row>
    <row r="21" spans="2:24" ht="14" customHeight="1" x14ac:dyDescent="0.3">
      <c r="B21" s="8" t="s">
        <v>136</v>
      </c>
      <c r="C21" s="174">
        <f>C19*C20</f>
        <v>0</v>
      </c>
      <c r="D21" s="174">
        <f t="shared" ref="D21:N21" si="9">D19*D20</f>
        <v>0</v>
      </c>
      <c r="E21" s="174">
        <f t="shared" si="9"/>
        <v>0</v>
      </c>
      <c r="F21" s="174">
        <f t="shared" si="9"/>
        <v>0</v>
      </c>
      <c r="G21" s="174">
        <f t="shared" si="9"/>
        <v>0</v>
      </c>
      <c r="H21" s="174">
        <f t="shared" si="9"/>
        <v>0</v>
      </c>
      <c r="I21" s="174">
        <f t="shared" si="9"/>
        <v>0</v>
      </c>
      <c r="J21" s="174">
        <f t="shared" si="9"/>
        <v>0</v>
      </c>
      <c r="K21" s="174">
        <f t="shared" si="9"/>
        <v>3523.5200000000009</v>
      </c>
      <c r="L21" s="174">
        <f t="shared" si="9"/>
        <v>4216.9600000000009</v>
      </c>
      <c r="M21" s="174">
        <f t="shared" si="9"/>
        <v>4713.2800000000007</v>
      </c>
      <c r="N21" s="174">
        <f t="shared" si="9"/>
        <v>8877.44</v>
      </c>
      <c r="O21" s="174"/>
      <c r="P21" s="8"/>
      <c r="Q21" s="98"/>
      <c r="R21" s="8" t="s">
        <v>136</v>
      </c>
      <c r="S21" s="176">
        <f>S19*S20</f>
        <v>21331.200000000004</v>
      </c>
      <c r="T21" s="176">
        <f>T19*T20</f>
        <v>100172.16000000003</v>
      </c>
      <c r="U21" s="176">
        <f>U19*U20</f>
        <v>255439.00800000009</v>
      </c>
      <c r="V21" s="176">
        <f>V19*V20</f>
        <v>653923.86048000015</v>
      </c>
      <c r="W21" s="176">
        <f>W19*W20</f>
        <v>1961771.5814400008</v>
      </c>
      <c r="X21" s="176">
        <f t="shared" si="7"/>
        <v>2992637.8099200008</v>
      </c>
    </row>
    <row r="22" spans="2:24" ht="14" customHeight="1" x14ac:dyDescent="0.3">
      <c r="B22" s="10" t="s">
        <v>152</v>
      </c>
      <c r="C22" s="16">
        <f>'Forecast Sold Cars'!C17</f>
        <v>0</v>
      </c>
      <c r="D22" s="16">
        <f>'Forecast Sold Cars'!D17</f>
        <v>0</v>
      </c>
      <c r="E22" s="16">
        <f>'Forecast Sold Cars'!E17</f>
        <v>0</v>
      </c>
      <c r="F22" s="16">
        <f>'Forecast Sold Cars'!F17</f>
        <v>0</v>
      </c>
      <c r="G22" s="16">
        <f>'Forecast Sold Cars'!G17</f>
        <v>0</v>
      </c>
      <c r="H22" s="16">
        <f>'Forecast Sold Cars'!H17</f>
        <v>0</v>
      </c>
      <c r="I22" s="16">
        <f>'Forecast Sold Cars'!I17</f>
        <v>0</v>
      </c>
      <c r="J22" s="16">
        <f>'Forecast Sold Cars'!J17</f>
        <v>0</v>
      </c>
      <c r="K22" s="16">
        <f>'Forecast Sold Cars'!K17</f>
        <v>16.016000000000002</v>
      </c>
      <c r="L22" s="16">
        <f>'Forecast Sold Cars'!L17</f>
        <v>19.168000000000003</v>
      </c>
      <c r="M22" s="16">
        <f>'Forecast Sold Cars'!M17</f>
        <v>21.424000000000003</v>
      </c>
      <c r="N22" s="16">
        <f>'Forecast Sold Cars'!N17</f>
        <v>40.352000000000004</v>
      </c>
      <c r="O22" s="13">
        <f>SUM(C22:N22)</f>
        <v>96.960000000000008</v>
      </c>
      <c r="P22" s="15"/>
      <c r="Q22" s="99"/>
      <c r="R22" s="10" t="s">
        <v>152</v>
      </c>
      <c r="S22" s="16">
        <f>O22</f>
        <v>96.960000000000008</v>
      </c>
      <c r="T22" s="16">
        <f>'Forecast Sold Cars'!D26</f>
        <v>505.92000000000007</v>
      </c>
      <c r="U22" s="16">
        <f>'Forecast Sold Cars'!E26</f>
        <v>1433.4400000000005</v>
      </c>
      <c r="V22" s="16">
        <f>'Forecast Sold Cars'!F26</f>
        <v>4587.0080000000007</v>
      </c>
      <c r="W22" s="16">
        <f>'Forecast Sold Cars'!G26</f>
        <v>17201.280000000002</v>
      </c>
      <c r="X22" s="172">
        <f t="shared" si="7"/>
        <v>23824.608000000004</v>
      </c>
    </row>
    <row r="23" spans="2:24" ht="14" customHeight="1" x14ac:dyDescent="0.3">
      <c r="B23" s="10" t="s">
        <v>28</v>
      </c>
      <c r="C23" s="184">
        <f>SUM(C18,C21)</f>
        <v>0</v>
      </c>
      <c r="D23" s="184">
        <f t="shared" ref="D23:N23" si="10">SUM(D18,D21)</f>
        <v>0</v>
      </c>
      <c r="E23" s="184">
        <f t="shared" si="10"/>
        <v>0</v>
      </c>
      <c r="F23" s="184">
        <f t="shared" si="10"/>
        <v>0</v>
      </c>
      <c r="G23" s="184">
        <f t="shared" si="10"/>
        <v>0</v>
      </c>
      <c r="H23" s="184">
        <f t="shared" si="10"/>
        <v>0</v>
      </c>
      <c r="I23" s="184">
        <f t="shared" si="10"/>
        <v>0</v>
      </c>
      <c r="J23" s="184">
        <f t="shared" si="10"/>
        <v>0</v>
      </c>
      <c r="K23" s="184">
        <f t="shared" si="10"/>
        <v>9865.8560000000016</v>
      </c>
      <c r="L23" s="184">
        <f t="shared" si="10"/>
        <v>11807.488000000001</v>
      </c>
      <c r="M23" s="184">
        <f t="shared" si="10"/>
        <v>13197.184000000001</v>
      </c>
      <c r="N23" s="184">
        <f t="shared" si="10"/>
        <v>24856.832000000002</v>
      </c>
      <c r="O23" s="185">
        <f>SUM(C23:N23)</f>
        <v>59727.360000000008</v>
      </c>
      <c r="Q23" s="97"/>
      <c r="R23" s="10" t="s">
        <v>28</v>
      </c>
      <c r="S23" s="177">
        <f>SUM(S18,S21)</f>
        <v>59727.360000000008</v>
      </c>
      <c r="T23" s="177">
        <f>SUM(T18,T21)</f>
        <v>280482.04800000007</v>
      </c>
      <c r="U23" s="177">
        <f>SUM(U18,U21)</f>
        <v>715229.22240000032</v>
      </c>
      <c r="V23" s="177">
        <f>SUM(V18,V21)</f>
        <v>1830986.8093440006</v>
      </c>
      <c r="W23" s="177">
        <f>SUM(W18,W21)</f>
        <v>5492960.4280320015</v>
      </c>
      <c r="X23" s="178">
        <f t="shared" si="7"/>
        <v>8379385.8677760027</v>
      </c>
    </row>
    <row r="24" spans="2:24" ht="14" customHeight="1" x14ac:dyDescent="0.3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Q24" s="97"/>
      <c r="S24" s="43"/>
      <c r="T24" s="43"/>
      <c r="U24" s="43"/>
      <c r="V24" s="43"/>
      <c r="W24" s="43"/>
    </row>
    <row r="25" spans="2:24" ht="14" customHeight="1" x14ac:dyDescent="0.3">
      <c r="B25" s="7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Q25" s="97"/>
      <c r="R25" s="7"/>
      <c r="S25" s="44"/>
      <c r="T25" s="44"/>
      <c r="U25" s="44"/>
      <c r="V25" s="44"/>
      <c r="W25" s="44"/>
    </row>
    <row r="26" spans="2:24" ht="14" customHeight="1" x14ac:dyDescent="0.3">
      <c r="B26" s="7" t="s">
        <v>134</v>
      </c>
      <c r="Q26" s="97"/>
      <c r="R26" s="7" t="s">
        <v>30</v>
      </c>
      <c r="T26" s="117"/>
      <c r="U26" s="117"/>
      <c r="V26" s="117"/>
      <c r="W26" s="117"/>
    </row>
    <row r="27" spans="2:24" ht="14" customHeight="1" x14ac:dyDescent="0.3">
      <c r="B27" s="17"/>
      <c r="C27" s="82" t="s">
        <v>139</v>
      </c>
      <c r="D27" s="82" t="s">
        <v>140</v>
      </c>
      <c r="E27" s="82" t="s">
        <v>141</v>
      </c>
      <c r="F27" s="82" t="s">
        <v>142</v>
      </c>
      <c r="G27" s="82" t="s">
        <v>143</v>
      </c>
      <c r="H27" s="82" t="s">
        <v>144</v>
      </c>
      <c r="I27" s="82" t="s">
        <v>145</v>
      </c>
      <c r="J27" s="82" t="s">
        <v>146</v>
      </c>
      <c r="K27" s="82" t="s">
        <v>147</v>
      </c>
      <c r="L27" s="82" t="s">
        <v>148</v>
      </c>
      <c r="M27" s="82" t="s">
        <v>149</v>
      </c>
      <c r="N27" s="82" t="s">
        <v>150</v>
      </c>
      <c r="O27" s="82" t="s">
        <v>16</v>
      </c>
      <c r="P27" s="5"/>
      <c r="Q27" s="100"/>
      <c r="R27" s="17"/>
      <c r="S27" s="82">
        <v>2019</v>
      </c>
      <c r="T27" s="82">
        <v>2020</v>
      </c>
      <c r="U27" s="82">
        <v>2021</v>
      </c>
      <c r="V27" s="82">
        <v>2022</v>
      </c>
      <c r="W27" s="82">
        <v>2023</v>
      </c>
      <c r="X27" s="82" t="s">
        <v>16</v>
      </c>
    </row>
    <row r="28" spans="2:24" ht="14" customHeight="1" x14ac:dyDescent="0.3">
      <c r="B28" s="8" t="s">
        <v>27</v>
      </c>
      <c r="C28" s="45">
        <f t="shared" ref="C28:H28" si="11">C22</f>
        <v>0</v>
      </c>
      <c r="D28" s="45">
        <f t="shared" si="11"/>
        <v>0</v>
      </c>
      <c r="E28" s="45">
        <f t="shared" si="11"/>
        <v>0</v>
      </c>
      <c r="F28" s="45">
        <f t="shared" si="11"/>
        <v>0</v>
      </c>
      <c r="G28" s="45">
        <f t="shared" si="11"/>
        <v>0</v>
      </c>
      <c r="H28" s="45">
        <f t="shared" si="11"/>
        <v>0</v>
      </c>
      <c r="I28" s="45">
        <f t="shared" ref="I28:N28" si="12">I22</f>
        <v>0</v>
      </c>
      <c r="J28" s="45">
        <f t="shared" si="12"/>
        <v>0</v>
      </c>
      <c r="K28" s="45">
        <f t="shared" si="12"/>
        <v>16.016000000000002</v>
      </c>
      <c r="L28" s="45">
        <f t="shared" si="12"/>
        <v>19.168000000000003</v>
      </c>
      <c r="M28" s="45">
        <f t="shared" si="12"/>
        <v>21.424000000000003</v>
      </c>
      <c r="N28" s="45">
        <f t="shared" si="12"/>
        <v>40.352000000000004</v>
      </c>
      <c r="O28" s="18">
        <f>SUM(C28:N28)</f>
        <v>96.960000000000008</v>
      </c>
      <c r="P28" s="5"/>
      <c r="Q28" s="100"/>
      <c r="R28" s="8" t="s">
        <v>27</v>
      </c>
      <c r="S28" s="45">
        <f>S22</f>
        <v>96.960000000000008</v>
      </c>
      <c r="T28" s="45">
        <f>T22</f>
        <v>505.92000000000007</v>
      </c>
      <c r="U28" s="45">
        <f>U22</f>
        <v>1433.4400000000005</v>
      </c>
      <c r="V28" s="45">
        <f>V22</f>
        <v>4587.0080000000007</v>
      </c>
      <c r="W28" s="45">
        <f>W22</f>
        <v>17201.280000000002</v>
      </c>
      <c r="X28" s="18">
        <f>SUM(S28:W28)</f>
        <v>23824.608000000004</v>
      </c>
    </row>
    <row r="29" spans="2:24" ht="14" customHeight="1" x14ac:dyDescent="0.3">
      <c r="B29" s="8" t="s">
        <v>33</v>
      </c>
      <c r="C29" s="179">
        <f>Assumptions!$E$81</f>
        <v>800</v>
      </c>
      <c r="D29" s="179">
        <f>Assumptions!$E$81</f>
        <v>800</v>
      </c>
      <c r="E29" s="179">
        <f>Assumptions!$E$81</f>
        <v>800</v>
      </c>
      <c r="F29" s="179">
        <f>Assumptions!$E$81</f>
        <v>800</v>
      </c>
      <c r="G29" s="179">
        <f>Assumptions!$E$81</f>
        <v>800</v>
      </c>
      <c r="H29" s="179">
        <f>Assumptions!$E$81</f>
        <v>800</v>
      </c>
      <c r="I29" s="179">
        <f>Assumptions!$E$81</f>
        <v>800</v>
      </c>
      <c r="J29" s="179">
        <f>Assumptions!$E$81</f>
        <v>800</v>
      </c>
      <c r="K29" s="179">
        <f>Assumptions!$E$81</f>
        <v>800</v>
      </c>
      <c r="L29" s="179">
        <f>Assumptions!$E$81</f>
        <v>800</v>
      </c>
      <c r="M29" s="179">
        <f>Assumptions!$E$81</f>
        <v>800</v>
      </c>
      <c r="N29" s="179">
        <f>Assumptions!$E$81</f>
        <v>800</v>
      </c>
      <c r="O29" s="176"/>
      <c r="P29" s="5"/>
      <c r="Q29" s="100"/>
      <c r="R29" s="8" t="s">
        <v>33</v>
      </c>
      <c r="S29" s="179">
        <f>Assumptions!E81</f>
        <v>800</v>
      </c>
      <c r="T29" s="179">
        <f>Assumptions!F81</f>
        <v>720</v>
      </c>
      <c r="U29" s="179">
        <f>Assumptions!G81</f>
        <v>648</v>
      </c>
      <c r="V29" s="179">
        <f>Assumptions!H81</f>
        <v>518.4</v>
      </c>
      <c r="W29" s="179">
        <f>Assumptions!I81</f>
        <v>414.72</v>
      </c>
      <c r="X29" s="176"/>
    </row>
    <row r="30" spans="2:24" ht="14" customHeight="1" x14ac:dyDescent="0.3">
      <c r="B30" s="10" t="s">
        <v>28</v>
      </c>
      <c r="C30" s="180">
        <f t="shared" ref="C30:N30" si="13">C29*C28</f>
        <v>0</v>
      </c>
      <c r="D30" s="180">
        <f t="shared" si="13"/>
        <v>0</v>
      </c>
      <c r="E30" s="180">
        <f t="shared" si="13"/>
        <v>0</v>
      </c>
      <c r="F30" s="180">
        <f t="shared" si="13"/>
        <v>0</v>
      </c>
      <c r="G30" s="180">
        <f t="shared" si="13"/>
        <v>0</v>
      </c>
      <c r="H30" s="180">
        <f t="shared" si="13"/>
        <v>0</v>
      </c>
      <c r="I30" s="180">
        <f t="shared" si="13"/>
        <v>0</v>
      </c>
      <c r="J30" s="180">
        <f t="shared" si="13"/>
        <v>0</v>
      </c>
      <c r="K30" s="180">
        <f t="shared" si="13"/>
        <v>12812.800000000001</v>
      </c>
      <c r="L30" s="180">
        <f t="shared" si="13"/>
        <v>15334.400000000001</v>
      </c>
      <c r="M30" s="180">
        <f t="shared" si="13"/>
        <v>17139.2</v>
      </c>
      <c r="N30" s="180">
        <f t="shared" si="13"/>
        <v>32281.600000000002</v>
      </c>
      <c r="O30" s="178">
        <f>SUM(C30:N30)</f>
        <v>77568.000000000015</v>
      </c>
      <c r="P30" s="5"/>
      <c r="Q30" s="100"/>
      <c r="R30" s="10" t="s">
        <v>28</v>
      </c>
      <c r="S30" s="180">
        <f>S29*S28</f>
        <v>77568</v>
      </c>
      <c r="T30" s="180">
        <f>T29*T28</f>
        <v>364262.40000000002</v>
      </c>
      <c r="U30" s="180">
        <f>U29*U28</f>
        <v>928869.12000000034</v>
      </c>
      <c r="V30" s="180">
        <f>V29*V28</f>
        <v>2377904.9472000003</v>
      </c>
      <c r="W30" s="180">
        <f>W29*W28</f>
        <v>7133714.8416000018</v>
      </c>
      <c r="X30" s="178">
        <f>SUM(S30:W30)</f>
        <v>10882319.308800003</v>
      </c>
    </row>
    <row r="31" spans="2:24" ht="14" customHeight="1" x14ac:dyDescent="0.3">
      <c r="B31" s="10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9"/>
      <c r="P31" s="5"/>
      <c r="Q31" s="308"/>
      <c r="R31" s="10"/>
      <c r="S31" s="307"/>
      <c r="T31" s="307"/>
      <c r="U31" s="307"/>
      <c r="V31" s="307"/>
      <c r="W31" s="307"/>
      <c r="X31" s="309"/>
    </row>
    <row r="32" spans="2:24" ht="14" customHeight="1" x14ac:dyDescent="0.3">
      <c r="B32" s="10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9"/>
      <c r="P32" s="5"/>
      <c r="Q32" s="308"/>
      <c r="R32" s="10"/>
      <c r="S32" s="307"/>
      <c r="T32" s="307"/>
      <c r="U32" s="307"/>
      <c r="V32" s="307"/>
      <c r="W32" s="307"/>
      <c r="X32" s="309"/>
    </row>
    <row r="33" spans="2:24" ht="14" customHeight="1" x14ac:dyDescent="0.3">
      <c r="B33" s="10" t="s">
        <v>239</v>
      </c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9"/>
      <c r="P33" s="5"/>
      <c r="Q33" s="308"/>
      <c r="R33" s="10" t="s">
        <v>239</v>
      </c>
      <c r="S33" s="307"/>
      <c r="T33" s="307"/>
      <c r="U33" s="307"/>
      <c r="V33" s="307"/>
      <c r="W33" s="307"/>
      <c r="X33" s="309"/>
    </row>
    <row r="34" spans="2:24" ht="14" customHeight="1" x14ac:dyDescent="0.3">
      <c r="B34" s="17"/>
      <c r="C34" s="82" t="s">
        <v>139</v>
      </c>
      <c r="D34" s="82" t="s">
        <v>140</v>
      </c>
      <c r="E34" s="82" t="s">
        <v>141</v>
      </c>
      <c r="F34" s="82" t="s">
        <v>142</v>
      </c>
      <c r="G34" s="82" t="s">
        <v>143</v>
      </c>
      <c r="H34" s="82" t="s">
        <v>144</v>
      </c>
      <c r="I34" s="82" t="s">
        <v>145</v>
      </c>
      <c r="J34" s="82" t="s">
        <v>146</v>
      </c>
      <c r="K34" s="82" t="s">
        <v>147</v>
      </c>
      <c r="L34" s="82" t="s">
        <v>148</v>
      </c>
      <c r="M34" s="82" t="s">
        <v>149</v>
      </c>
      <c r="N34" s="82" t="s">
        <v>150</v>
      </c>
      <c r="O34" s="82" t="s">
        <v>16</v>
      </c>
      <c r="P34" s="5"/>
      <c r="Q34" s="308"/>
      <c r="R34" s="17"/>
      <c r="S34" s="82">
        <v>2019</v>
      </c>
      <c r="T34" s="82">
        <v>2020</v>
      </c>
      <c r="U34" s="82">
        <v>2021</v>
      </c>
      <c r="V34" s="82">
        <v>2022</v>
      </c>
      <c r="W34" s="82">
        <v>2023</v>
      </c>
      <c r="X34" s="82" t="s">
        <v>16</v>
      </c>
    </row>
    <row r="35" spans="2:24" ht="14" customHeight="1" x14ac:dyDescent="0.3">
      <c r="B35" s="5" t="s">
        <v>249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f>'Forecast Users'!K8</f>
        <v>0</v>
      </c>
      <c r="L35" s="45">
        <f>'Forecast Users'!L8</f>
        <v>0</v>
      </c>
      <c r="M35" s="45">
        <f>'Forecast Users'!M8</f>
        <v>0</v>
      </c>
      <c r="N35" s="45">
        <f>'Forecast Users'!N8</f>
        <v>0</v>
      </c>
      <c r="O35" s="18">
        <f>N35</f>
        <v>0</v>
      </c>
      <c r="P35" s="5"/>
      <c r="Q35" s="308"/>
      <c r="R35" s="5" t="s">
        <v>251</v>
      </c>
      <c r="S35" s="388">
        <f>O35</f>
        <v>0</v>
      </c>
      <c r="T35" s="388">
        <f>'Forecast Users'!D16</f>
        <v>1011.8400000000001</v>
      </c>
      <c r="U35" s="388">
        <f>'Forecast Users'!E16</f>
        <v>6644.416000000002</v>
      </c>
      <c r="V35" s="388">
        <f>'Forecast Users'!F16</f>
        <v>23181.254400000002</v>
      </c>
      <c r="W35" s="388">
        <f>'Forecast Users'!G16</f>
        <v>66733.208960000018</v>
      </c>
      <c r="X35" s="389">
        <f>W35</f>
        <v>66733.208960000018</v>
      </c>
    </row>
    <row r="36" spans="2:24" ht="14" customHeight="1" x14ac:dyDescent="0.3">
      <c r="B36" s="5" t="s">
        <v>250</v>
      </c>
      <c r="C36" s="388"/>
      <c r="D36" s="388"/>
      <c r="E36" s="388"/>
      <c r="F36" s="388"/>
      <c r="G36" s="388"/>
      <c r="H36" s="388"/>
      <c r="I36" s="388"/>
      <c r="J36" s="388"/>
      <c r="K36" s="388">
        <f>'Forecast Users'!K9</f>
        <v>0</v>
      </c>
      <c r="L36" s="388">
        <f>'Forecast Users'!L9</f>
        <v>0</v>
      </c>
      <c r="M36" s="388">
        <f>'Forecast Users'!M9</f>
        <v>0</v>
      </c>
      <c r="N36" s="388">
        <f>'Forecast Users'!N9</f>
        <v>0</v>
      </c>
      <c r="O36" s="389">
        <f>SUM(K36:N36)</f>
        <v>0</v>
      </c>
      <c r="P36" s="5"/>
      <c r="Q36" s="308"/>
      <c r="R36" s="5" t="s">
        <v>250</v>
      </c>
      <c r="S36" s="45">
        <f>O36</f>
        <v>0</v>
      </c>
      <c r="T36" s="45">
        <f>'Forecast Users'!D17</f>
        <v>8094.7200000000012</v>
      </c>
      <c r="U36" s="45">
        <f>'Forecast Users'!E17</f>
        <v>59799.744000000021</v>
      </c>
      <c r="V36" s="45">
        <f>'Forecast Users'!F17</f>
        <v>231812.54400000002</v>
      </c>
      <c r="W36" s="45">
        <f>'Forecast Users'!G17</f>
        <v>667332.08960000018</v>
      </c>
      <c r="X36" s="18">
        <f>SUM(S36:W36)</f>
        <v>967039.09760000021</v>
      </c>
    </row>
    <row r="37" spans="2:24" ht="14" customHeight="1" x14ac:dyDescent="0.3">
      <c r="B37" s="5" t="s">
        <v>240</v>
      </c>
      <c r="C37" s="358">
        <v>0</v>
      </c>
      <c r="D37" s="358">
        <v>0</v>
      </c>
      <c r="E37" s="358">
        <v>0</v>
      </c>
      <c r="F37" s="358">
        <v>0</v>
      </c>
      <c r="G37" s="358">
        <v>0</v>
      </c>
      <c r="H37" s="358">
        <v>0</v>
      </c>
      <c r="I37" s="358">
        <v>0</v>
      </c>
      <c r="J37" s="358">
        <v>0</v>
      </c>
      <c r="K37" s="358">
        <f>Assumptions!E71</f>
        <v>10</v>
      </c>
      <c r="L37" s="358">
        <f>K37</f>
        <v>10</v>
      </c>
      <c r="M37" s="358">
        <f t="shared" ref="M37:N37" si="14">L37</f>
        <v>10</v>
      </c>
      <c r="N37" s="358">
        <f t="shared" si="14"/>
        <v>10</v>
      </c>
      <c r="O37" s="264"/>
      <c r="P37" s="5"/>
      <c r="Q37" s="308"/>
      <c r="R37" s="5" t="s">
        <v>240</v>
      </c>
      <c r="S37" s="179">
        <v>10</v>
      </c>
      <c r="T37" s="179">
        <v>10</v>
      </c>
      <c r="U37" s="179">
        <v>10</v>
      </c>
      <c r="V37" s="179">
        <v>10</v>
      </c>
      <c r="W37" s="179">
        <v>10</v>
      </c>
      <c r="X37" s="176"/>
    </row>
    <row r="38" spans="2:24" ht="14" customHeight="1" x14ac:dyDescent="0.3">
      <c r="B38" s="10" t="s">
        <v>28</v>
      </c>
      <c r="C38" s="387">
        <f t="shared" ref="C38:J38" si="15">C37*C35</f>
        <v>0</v>
      </c>
      <c r="D38" s="387">
        <f t="shared" si="15"/>
        <v>0</v>
      </c>
      <c r="E38" s="387">
        <f t="shared" si="15"/>
        <v>0</v>
      </c>
      <c r="F38" s="387">
        <f t="shared" si="15"/>
        <v>0</v>
      </c>
      <c r="G38" s="387">
        <f t="shared" si="15"/>
        <v>0</v>
      </c>
      <c r="H38" s="387">
        <f t="shared" si="15"/>
        <v>0</v>
      </c>
      <c r="I38" s="387">
        <f t="shared" si="15"/>
        <v>0</v>
      </c>
      <c r="J38" s="387">
        <f t="shared" si="15"/>
        <v>0</v>
      </c>
      <c r="K38" s="387">
        <f>K36*K37</f>
        <v>0</v>
      </c>
      <c r="L38" s="387">
        <f t="shared" ref="L38:N38" si="16">L36*L37</f>
        <v>0</v>
      </c>
      <c r="M38" s="387">
        <f t="shared" si="16"/>
        <v>0</v>
      </c>
      <c r="N38" s="387">
        <f t="shared" si="16"/>
        <v>0</v>
      </c>
      <c r="O38" s="177">
        <f>SUM(K38:N38)</f>
        <v>0</v>
      </c>
      <c r="R38" s="10" t="s">
        <v>28</v>
      </c>
      <c r="S38" s="180">
        <f>O38</f>
        <v>0</v>
      </c>
      <c r="T38" s="180">
        <f>T37*T36</f>
        <v>80947.200000000012</v>
      </c>
      <c r="U38" s="180">
        <f t="shared" ref="U38:W38" si="17">U37*U36</f>
        <v>597997.44000000018</v>
      </c>
      <c r="V38" s="180">
        <f t="shared" si="17"/>
        <v>2318125.4400000004</v>
      </c>
      <c r="W38" s="180">
        <f t="shared" si="17"/>
        <v>6673320.8960000016</v>
      </c>
      <c r="X38" s="178">
        <f>SUM(S38:W38)</f>
        <v>9670390.9760000017</v>
      </c>
    </row>
    <row r="39" spans="2:24" ht="14" customHeight="1" x14ac:dyDescent="0.3">
      <c r="B39" s="10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9"/>
    </row>
    <row r="40" spans="2:24" ht="14" customHeight="1" x14ac:dyDescent="0.3">
      <c r="B40" s="10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9"/>
    </row>
    <row r="41" spans="2:24" ht="14" customHeight="1" x14ac:dyDescent="0.3">
      <c r="B41" s="10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9"/>
    </row>
    <row r="42" spans="2:24" ht="14" customHeight="1" x14ac:dyDescent="0.3">
      <c r="B42" s="10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9"/>
    </row>
    <row r="43" spans="2:24" ht="14" customHeight="1" x14ac:dyDescent="0.3">
      <c r="B43" s="10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9"/>
    </row>
    <row r="49" spans="2:24" ht="20" customHeight="1" x14ac:dyDescent="0.3">
      <c r="B49" s="35" t="s">
        <v>21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</row>
    <row r="51" spans="2:24" ht="14" customHeight="1" x14ac:dyDescent="0.3">
      <c r="B51" s="7" t="s">
        <v>137</v>
      </c>
      <c r="M51" s="1"/>
      <c r="N51" s="1"/>
      <c r="O51" s="1"/>
      <c r="P51" s="6"/>
      <c r="Q51" s="94"/>
      <c r="R51" s="7" t="s">
        <v>34</v>
      </c>
    </row>
    <row r="52" spans="2:24" ht="14" customHeight="1" x14ac:dyDescent="0.3">
      <c r="C52" s="92" t="s">
        <v>139</v>
      </c>
      <c r="D52" s="92" t="s">
        <v>140</v>
      </c>
      <c r="E52" s="92" t="s">
        <v>141</v>
      </c>
      <c r="F52" s="92" t="s">
        <v>142</v>
      </c>
      <c r="G52" s="92" t="s">
        <v>143</v>
      </c>
      <c r="H52" s="92" t="s">
        <v>144</v>
      </c>
      <c r="I52" s="92" t="s">
        <v>145</v>
      </c>
      <c r="J52" s="92" t="s">
        <v>146</v>
      </c>
      <c r="K52" s="92" t="s">
        <v>147</v>
      </c>
      <c r="L52" s="92" t="s">
        <v>148</v>
      </c>
      <c r="M52" s="92" t="s">
        <v>149</v>
      </c>
      <c r="N52" s="92" t="s">
        <v>150</v>
      </c>
      <c r="O52" s="92" t="s">
        <v>16</v>
      </c>
      <c r="P52" s="6"/>
      <c r="Q52" s="94"/>
      <c r="R52" s="20" t="s">
        <v>34</v>
      </c>
      <c r="T52" s="46">
        <v>2020</v>
      </c>
      <c r="U52" s="46">
        <v>2021</v>
      </c>
      <c r="V52" s="46">
        <v>2022</v>
      </c>
      <c r="W52" s="46">
        <v>2023</v>
      </c>
      <c r="X52" s="46" t="s">
        <v>16</v>
      </c>
    </row>
    <row r="53" spans="2:24" ht="14" customHeight="1" x14ac:dyDescent="0.3">
      <c r="B53" s="8" t="s">
        <v>26</v>
      </c>
      <c r="C53" s="175">
        <f>C70</f>
        <v>0</v>
      </c>
      <c r="D53" s="175">
        <f t="shared" ref="D53:N53" si="18">D70</f>
        <v>0</v>
      </c>
      <c r="E53" s="175">
        <f t="shared" si="18"/>
        <v>0</v>
      </c>
      <c r="F53" s="175">
        <f t="shared" si="18"/>
        <v>17796.511101599997</v>
      </c>
      <c r="G53" s="175">
        <f t="shared" si="18"/>
        <v>23396.5537344</v>
      </c>
      <c r="H53" s="175">
        <f t="shared" si="18"/>
        <v>28932.015974400005</v>
      </c>
      <c r="I53" s="175">
        <f t="shared" si="18"/>
        <v>20988.627660000006</v>
      </c>
      <c r="J53" s="175">
        <f t="shared" si="18"/>
        <v>18363.895981200003</v>
      </c>
      <c r="K53" s="175">
        <f t="shared" si="18"/>
        <v>32110.293877200005</v>
      </c>
      <c r="L53" s="175">
        <f t="shared" si="18"/>
        <v>21699.011980799998</v>
      </c>
      <c r="M53" s="175">
        <f t="shared" si="18"/>
        <v>22395.557646000001</v>
      </c>
      <c r="N53" s="175">
        <f t="shared" si="18"/>
        <v>25361.642829600001</v>
      </c>
      <c r="O53" s="181">
        <f>SUM(C53:N53)</f>
        <v>211044.11078520003</v>
      </c>
      <c r="P53" s="4"/>
      <c r="Q53" s="95"/>
      <c r="R53" s="8" t="s">
        <v>26</v>
      </c>
      <c r="T53" s="14">
        <f>O70</f>
        <v>211044.11078520003</v>
      </c>
      <c r="U53" s="14">
        <f>U70</f>
        <v>1193906.2094023679</v>
      </c>
      <c r="V53" s="14">
        <f>V70</f>
        <v>3183749.8917396488</v>
      </c>
      <c r="W53" s="14">
        <f>W70</f>
        <v>8150399.7228535004</v>
      </c>
      <c r="X53" s="14">
        <f>X70</f>
        <v>12739099.934780717</v>
      </c>
    </row>
    <row r="54" spans="2:24" ht="14" customHeight="1" x14ac:dyDescent="0.3">
      <c r="B54" s="8" t="s">
        <v>27</v>
      </c>
      <c r="C54" s="186">
        <f>C77</f>
        <v>0</v>
      </c>
      <c r="D54" s="186">
        <f t="shared" ref="D54:N54" si="19">D77</f>
        <v>0</v>
      </c>
      <c r="E54" s="186">
        <f t="shared" si="19"/>
        <v>0</v>
      </c>
      <c r="F54" s="186">
        <f t="shared" si="19"/>
        <v>23112.352079999997</v>
      </c>
      <c r="G54" s="186">
        <f t="shared" si="19"/>
        <v>30385.134720000002</v>
      </c>
      <c r="H54" s="186">
        <f t="shared" si="19"/>
        <v>37574.046720000006</v>
      </c>
      <c r="I54" s="186">
        <f t="shared" si="19"/>
        <v>27257.958000000006</v>
      </c>
      <c r="J54" s="186">
        <f t="shared" si="19"/>
        <v>23849.215560000001</v>
      </c>
      <c r="K54" s="186">
        <f t="shared" si="19"/>
        <v>41701.680359999998</v>
      </c>
      <c r="L54" s="186">
        <f t="shared" si="19"/>
        <v>28180.535039999999</v>
      </c>
      <c r="M54" s="186">
        <f t="shared" si="19"/>
        <v>29085.139800000001</v>
      </c>
      <c r="N54" s="186">
        <f t="shared" si="19"/>
        <v>32937.198480000006</v>
      </c>
      <c r="O54" s="186">
        <f>SUM(C54:N54)</f>
        <v>274083.26076000003</v>
      </c>
      <c r="P54" s="6"/>
      <c r="Q54" s="96"/>
      <c r="R54" s="8" t="s">
        <v>27</v>
      </c>
      <c r="T54" s="88">
        <f>O77</f>
        <v>274083.26076000003</v>
      </c>
      <c r="U54" s="88">
        <f>U77</f>
        <v>1550527.5446783998</v>
      </c>
      <c r="V54" s="88">
        <f>V77</f>
        <v>4134740.1191424001</v>
      </c>
      <c r="W54" s="88">
        <f>W77</f>
        <v>10584934.705004545</v>
      </c>
      <c r="X54" s="88">
        <f>X77</f>
        <v>16544285.629585344</v>
      </c>
    </row>
    <row r="55" spans="2:24" ht="14" customHeight="1" x14ac:dyDescent="0.3">
      <c r="B55" s="8" t="s">
        <v>241</v>
      </c>
      <c r="C55" s="186"/>
      <c r="D55" s="186"/>
      <c r="E55" s="186"/>
      <c r="F55" s="186">
        <f>F85</f>
        <v>0</v>
      </c>
      <c r="G55" s="186">
        <f t="shared" ref="G55:N55" si="20">G85</f>
        <v>0</v>
      </c>
      <c r="H55" s="186">
        <f t="shared" si="20"/>
        <v>0</v>
      </c>
      <c r="I55" s="186">
        <f t="shared" si="20"/>
        <v>0</v>
      </c>
      <c r="J55" s="186">
        <f t="shared" si="20"/>
        <v>0</v>
      </c>
      <c r="K55" s="186">
        <f t="shared" si="20"/>
        <v>0</v>
      </c>
      <c r="L55" s="186">
        <f t="shared" si="20"/>
        <v>0</v>
      </c>
      <c r="M55" s="186">
        <f t="shared" si="20"/>
        <v>0</v>
      </c>
      <c r="N55" s="186">
        <f t="shared" si="20"/>
        <v>0</v>
      </c>
      <c r="O55" s="186">
        <f>SUM(F55:N55)</f>
        <v>0</v>
      </c>
      <c r="P55" s="6"/>
      <c r="Q55" s="96"/>
      <c r="R55" s="8" t="s">
        <v>241</v>
      </c>
      <c r="T55" s="88">
        <f>T85</f>
        <v>0</v>
      </c>
      <c r="U55" s="88">
        <f t="shared" ref="U55:W55" si="21">U85</f>
        <v>219703.28651927598</v>
      </c>
      <c r="V55" s="88">
        <f t="shared" si="21"/>
        <v>1658123.2300807671</v>
      </c>
      <c r="W55" s="88">
        <f t="shared" si="21"/>
        <v>6443702.0716807675</v>
      </c>
      <c r="X55" s="88">
        <f>SUM(T55:W55)</f>
        <v>8321528.58828081</v>
      </c>
    </row>
    <row r="56" spans="2:24" ht="14" customHeight="1" x14ac:dyDescent="0.3">
      <c r="B56" s="10" t="s">
        <v>28</v>
      </c>
      <c r="C56" s="187">
        <f>SUM(C53:C54)</f>
        <v>0</v>
      </c>
      <c r="D56" s="187">
        <f t="shared" ref="D56:E56" si="22">SUM(D53:D54)</f>
        <v>0</v>
      </c>
      <c r="E56" s="187">
        <f t="shared" si="22"/>
        <v>0</v>
      </c>
      <c r="F56" s="187">
        <f>SUM(F53:F55)</f>
        <v>40908.863181599998</v>
      </c>
      <c r="G56" s="187">
        <f t="shared" ref="G56:N56" si="23">SUM(G53:G55)</f>
        <v>53781.688454400006</v>
      </c>
      <c r="H56" s="187">
        <f t="shared" si="23"/>
        <v>66506.062694400011</v>
      </c>
      <c r="I56" s="187">
        <f t="shared" si="23"/>
        <v>48246.585660000012</v>
      </c>
      <c r="J56" s="187">
        <f t="shared" si="23"/>
        <v>42213.111541200007</v>
      </c>
      <c r="K56" s="187">
        <f t="shared" si="23"/>
        <v>73811.974237200004</v>
      </c>
      <c r="L56" s="187">
        <f t="shared" si="23"/>
        <v>49879.547020799997</v>
      </c>
      <c r="M56" s="187">
        <f t="shared" si="23"/>
        <v>51480.697446000006</v>
      </c>
      <c r="N56" s="187">
        <f t="shared" si="23"/>
        <v>58298.841309600008</v>
      </c>
      <c r="O56" s="188">
        <f>SUM(C56:N56)</f>
        <v>485127.3715452</v>
      </c>
      <c r="P56" s="11"/>
      <c r="Q56" s="96"/>
      <c r="R56" s="10" t="s">
        <v>28</v>
      </c>
      <c r="T56" s="93">
        <f>SUM(T53:T54)</f>
        <v>485127.37154520006</v>
      </c>
      <c r="U56" s="93">
        <f>SUM(U53:U54)</f>
        <v>2744433.7540807677</v>
      </c>
      <c r="V56" s="93">
        <f>SUM(V53:V54)</f>
        <v>7318490.0108820489</v>
      </c>
      <c r="W56" s="93">
        <f>SUM(W53:W54)</f>
        <v>18735334.427858047</v>
      </c>
      <c r="X56" s="107">
        <f>SUM(X53:X55)</f>
        <v>37604914.152646869</v>
      </c>
    </row>
    <row r="57" spans="2:24" ht="14" customHeight="1" x14ac:dyDescent="0.3">
      <c r="B57" s="6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101"/>
      <c r="P57" s="6"/>
      <c r="Q57" s="94"/>
      <c r="R57" s="6"/>
      <c r="S57" s="1"/>
      <c r="T57" s="1"/>
      <c r="U57" s="1"/>
      <c r="V57" s="1"/>
      <c r="W57" s="1"/>
      <c r="X57" s="1"/>
    </row>
    <row r="58" spans="2:24" ht="14" customHeight="1" x14ac:dyDescent="0.3">
      <c r="C58" s="42"/>
      <c r="D58" s="42"/>
      <c r="E58" s="42"/>
      <c r="F58" s="42"/>
      <c r="G58" s="42"/>
      <c r="Q58" s="97"/>
      <c r="X58" s="1"/>
    </row>
    <row r="59" spans="2:24" ht="14" customHeight="1" x14ac:dyDescent="0.3">
      <c r="C59" s="42"/>
      <c r="D59" s="42"/>
      <c r="E59" s="42"/>
      <c r="F59" s="42"/>
      <c r="G59" s="42"/>
      <c r="Q59" s="97"/>
      <c r="X59" s="1"/>
    </row>
    <row r="60" spans="2:24" ht="14" customHeight="1" x14ac:dyDescent="0.3">
      <c r="Q60" s="97"/>
      <c r="R60" s="6"/>
      <c r="S60" s="1"/>
      <c r="T60" s="1"/>
      <c r="U60" s="1"/>
      <c r="X60" s="1"/>
    </row>
    <row r="61" spans="2:24" ht="14" customHeight="1" x14ac:dyDescent="0.3">
      <c r="B61" s="7" t="s">
        <v>151</v>
      </c>
      <c r="Q61" s="97"/>
      <c r="R61" s="7" t="s">
        <v>29</v>
      </c>
      <c r="X61" s="1"/>
    </row>
    <row r="62" spans="2:24" ht="14" customHeight="1" x14ac:dyDescent="0.3">
      <c r="B62" s="12"/>
      <c r="C62" s="92" t="s">
        <v>139</v>
      </c>
      <c r="D62" s="92" t="s">
        <v>140</v>
      </c>
      <c r="E62" s="92" t="s">
        <v>141</v>
      </c>
      <c r="F62" s="92" t="s">
        <v>142</v>
      </c>
      <c r="G62" s="92" t="s">
        <v>143</v>
      </c>
      <c r="H62" s="92" t="s">
        <v>144</v>
      </c>
      <c r="I62" s="92" t="s">
        <v>145</v>
      </c>
      <c r="J62" s="92" t="s">
        <v>146</v>
      </c>
      <c r="K62" s="92" t="s">
        <v>147</v>
      </c>
      <c r="L62" s="92" t="s">
        <v>148</v>
      </c>
      <c r="M62" s="92" t="s">
        <v>149</v>
      </c>
      <c r="N62" s="92" t="s">
        <v>150</v>
      </c>
      <c r="O62" s="92" t="s">
        <v>16</v>
      </c>
      <c r="P62" s="4"/>
      <c r="Q62" s="97"/>
      <c r="R62" s="12"/>
      <c r="T62" s="46">
        <v>2020</v>
      </c>
      <c r="U62" s="46">
        <v>2021</v>
      </c>
      <c r="V62" s="46">
        <v>2022</v>
      </c>
      <c r="W62" s="46">
        <v>2023</v>
      </c>
      <c r="X62" s="46" t="s">
        <v>16</v>
      </c>
    </row>
    <row r="63" spans="2:24" ht="14" customHeight="1" x14ac:dyDescent="0.3">
      <c r="B63" s="10" t="s">
        <v>123</v>
      </c>
      <c r="C63" s="13">
        <f>Assumptions!$F$76*Income!C69</f>
        <v>0</v>
      </c>
      <c r="D63" s="13">
        <f>Assumptions!$F$76*Income!D69</f>
        <v>0</v>
      </c>
      <c r="E63" s="13">
        <f>Assumptions!$F$76*Income!E69</f>
        <v>0</v>
      </c>
      <c r="F63" s="13">
        <f>Assumptions!$F$76*Income!F69</f>
        <v>19.260293399999998</v>
      </c>
      <c r="G63" s="13">
        <f>Assumptions!$F$76*Income!G69</f>
        <v>25.320945600000002</v>
      </c>
      <c r="H63" s="13">
        <f>Assumptions!$F$76*Income!H69</f>
        <v>31.3117056</v>
      </c>
      <c r="I63" s="13">
        <f>Assumptions!$F$76*Income!I69</f>
        <v>22.714965000000003</v>
      </c>
      <c r="J63" s="13">
        <f>Assumptions!$F$76*Income!J69</f>
        <v>19.874346299999999</v>
      </c>
      <c r="K63" s="13">
        <f>Assumptions!$F$76*Income!K69</f>
        <v>34.7514003</v>
      </c>
      <c r="L63" s="13">
        <f>Assumptions!$F$76*Income!L69</f>
        <v>23.483779199999997</v>
      </c>
      <c r="M63" s="13">
        <f>Assumptions!$F$76*Income!M69</f>
        <v>24.237616500000001</v>
      </c>
      <c r="N63" s="13">
        <f>Assumptions!$F$76*Income!N69</f>
        <v>27.447665400000002</v>
      </c>
      <c r="O63" s="171">
        <f>SUM(C63:N63)</f>
        <v>228.40271729999998</v>
      </c>
      <c r="Q63" s="97"/>
      <c r="R63" s="10" t="s">
        <v>123</v>
      </c>
      <c r="T63" s="171">
        <f>O63</f>
        <v>228.40271729999998</v>
      </c>
      <c r="U63" s="171">
        <f>Assumptions!G76*Income!U69</f>
        <v>1435.6736524799999</v>
      </c>
      <c r="V63" s="171">
        <f>Assumptions!H76*Income!V69</f>
        <v>4785.5788416000005</v>
      </c>
      <c r="W63" s="171">
        <f>Assumptions!I76*Income!W69</f>
        <v>15313.85229312</v>
      </c>
      <c r="X63" s="171">
        <f>SUM(T63:W63)</f>
        <v>21763.507504500001</v>
      </c>
    </row>
    <row r="64" spans="2:24" ht="14" customHeight="1" x14ac:dyDescent="0.3">
      <c r="B64" s="8" t="s">
        <v>31</v>
      </c>
      <c r="C64" s="186">
        <f>Assumptions!F79</f>
        <v>594</v>
      </c>
      <c r="D64" s="186">
        <f>C64</f>
        <v>594</v>
      </c>
      <c r="E64" s="186">
        <f t="shared" ref="E64:N64" si="24">D64</f>
        <v>594</v>
      </c>
      <c r="F64" s="186">
        <f t="shared" si="24"/>
        <v>594</v>
      </c>
      <c r="G64" s="186">
        <f t="shared" si="24"/>
        <v>594</v>
      </c>
      <c r="H64" s="186">
        <f t="shared" si="24"/>
        <v>594</v>
      </c>
      <c r="I64" s="186">
        <f t="shared" si="24"/>
        <v>594</v>
      </c>
      <c r="J64" s="186">
        <f t="shared" si="24"/>
        <v>594</v>
      </c>
      <c r="K64" s="186">
        <f t="shared" si="24"/>
        <v>594</v>
      </c>
      <c r="L64" s="186">
        <f t="shared" si="24"/>
        <v>594</v>
      </c>
      <c r="M64" s="186">
        <f t="shared" si="24"/>
        <v>594</v>
      </c>
      <c r="N64" s="186">
        <f t="shared" si="24"/>
        <v>594</v>
      </c>
      <c r="O64" s="88"/>
      <c r="Q64" s="97"/>
      <c r="R64" s="8" t="s">
        <v>31</v>
      </c>
      <c r="T64" s="186">
        <f>Assumptions!F79</f>
        <v>594</v>
      </c>
      <c r="U64" s="186">
        <f>Assumptions!G79</f>
        <v>534.6</v>
      </c>
      <c r="V64" s="186">
        <f>Assumptions!H79</f>
        <v>427.68000000000006</v>
      </c>
      <c r="W64" s="186">
        <f>Assumptions!I79</f>
        <v>342.14400000000006</v>
      </c>
      <c r="X64" s="186"/>
    </row>
    <row r="65" spans="2:24" ht="14" customHeight="1" x14ac:dyDescent="0.3">
      <c r="B65" s="8" t="s">
        <v>135</v>
      </c>
      <c r="C65" s="175">
        <f t="shared" ref="C65:N65" si="25">C63*C64</f>
        <v>0</v>
      </c>
      <c r="D65" s="175">
        <f t="shared" si="25"/>
        <v>0</v>
      </c>
      <c r="E65" s="175">
        <f t="shared" si="25"/>
        <v>0</v>
      </c>
      <c r="F65" s="175">
        <f t="shared" si="25"/>
        <v>11440.614279599999</v>
      </c>
      <c r="G65" s="175">
        <f t="shared" si="25"/>
        <v>15040.6416864</v>
      </c>
      <c r="H65" s="175">
        <f t="shared" si="25"/>
        <v>18599.1531264</v>
      </c>
      <c r="I65" s="175">
        <f t="shared" si="25"/>
        <v>13492.689210000002</v>
      </c>
      <c r="J65" s="175">
        <f t="shared" si="25"/>
        <v>11805.3617022</v>
      </c>
      <c r="K65" s="175">
        <f t="shared" si="25"/>
        <v>20642.331778200001</v>
      </c>
      <c r="L65" s="175">
        <f t="shared" si="25"/>
        <v>13949.364844799999</v>
      </c>
      <c r="M65" s="175">
        <f t="shared" si="25"/>
        <v>14397.144201000001</v>
      </c>
      <c r="N65" s="175">
        <f t="shared" si="25"/>
        <v>16303.913247600001</v>
      </c>
      <c r="O65" s="175">
        <f>SUM(C65:N65)</f>
        <v>135671.21407620001</v>
      </c>
      <c r="Q65" s="97"/>
      <c r="R65" s="8" t="s">
        <v>135</v>
      </c>
      <c r="T65" s="175">
        <f>T63*T64</f>
        <v>135671.21407619998</v>
      </c>
      <c r="U65" s="175">
        <f>U63*U64</f>
        <v>767511.13461580791</v>
      </c>
      <c r="V65" s="175">
        <f>V63*V64</f>
        <v>2046696.3589754885</v>
      </c>
      <c r="W65" s="175">
        <f>W63*W64</f>
        <v>5239542.6789772501</v>
      </c>
      <c r="X65" s="175">
        <f>SUM(T65:W65)</f>
        <v>8189421.3866447462</v>
      </c>
    </row>
    <row r="66" spans="2:24" ht="14" customHeight="1" x14ac:dyDescent="0.3">
      <c r="B66" s="10" t="s">
        <v>124</v>
      </c>
      <c r="C66" s="89">
        <f>Assumptions!$F$77*Income!C69</f>
        <v>0</v>
      </c>
      <c r="D66" s="89">
        <f>Assumptions!$F$77*Income!D69</f>
        <v>0</v>
      </c>
      <c r="E66" s="89">
        <f>Assumptions!$F$77*Income!E69</f>
        <v>0</v>
      </c>
      <c r="F66" s="89">
        <f>Assumptions!$F$77*Income!F69</f>
        <v>12.840195599999999</v>
      </c>
      <c r="G66" s="89">
        <f>Assumptions!$F$77*Income!G69</f>
        <v>16.880630400000001</v>
      </c>
      <c r="H66" s="89">
        <f>Assumptions!$F$77*Income!H69</f>
        <v>20.874470400000003</v>
      </c>
      <c r="I66" s="89">
        <f>Assumptions!$F$77*Income!I69</f>
        <v>15.143310000000003</v>
      </c>
      <c r="J66" s="89">
        <f>Assumptions!$F$77*Income!J69</f>
        <v>13.249564200000002</v>
      </c>
      <c r="K66" s="89">
        <f>Assumptions!$F$77*Income!K69</f>
        <v>23.167600200000003</v>
      </c>
      <c r="L66" s="89">
        <f>Assumptions!$F$77*Income!L69</f>
        <v>15.6558528</v>
      </c>
      <c r="M66" s="89">
        <f>Assumptions!$F$77*Income!M69</f>
        <v>16.158411000000001</v>
      </c>
      <c r="N66" s="89">
        <f>Assumptions!$F$77*Income!N69</f>
        <v>18.298443600000002</v>
      </c>
      <c r="O66" s="89">
        <f>SUM(C66:N66)</f>
        <v>152.26847820000003</v>
      </c>
      <c r="P66" s="8"/>
      <c r="Q66" s="98"/>
      <c r="R66" s="10" t="s">
        <v>124</v>
      </c>
      <c r="T66" s="192">
        <f>O66</f>
        <v>152.26847820000003</v>
      </c>
      <c r="U66" s="192">
        <f>Assumptions!G77*Income!U69</f>
        <v>957.11576831999992</v>
      </c>
      <c r="V66" s="192">
        <f>Assumptions!H77*Income!V69</f>
        <v>3190.3858944000003</v>
      </c>
      <c r="W66" s="192">
        <f>Assumptions!I77*Income!W69</f>
        <v>10209.234862080002</v>
      </c>
      <c r="X66" s="192">
        <f>SUM(T66:W66)</f>
        <v>14509.005003000002</v>
      </c>
    </row>
    <row r="67" spans="2:24" ht="14" customHeight="1" x14ac:dyDescent="0.3">
      <c r="B67" s="8" t="s">
        <v>31</v>
      </c>
      <c r="C67" s="175">
        <f>Assumptions!F80</f>
        <v>495</v>
      </c>
      <c r="D67" s="175">
        <f>C67</f>
        <v>495</v>
      </c>
      <c r="E67" s="175">
        <f t="shared" ref="E67:N67" si="26">D67</f>
        <v>495</v>
      </c>
      <c r="F67" s="175">
        <f t="shared" si="26"/>
        <v>495</v>
      </c>
      <c r="G67" s="175">
        <f t="shared" si="26"/>
        <v>495</v>
      </c>
      <c r="H67" s="175">
        <f t="shared" si="26"/>
        <v>495</v>
      </c>
      <c r="I67" s="175">
        <f t="shared" si="26"/>
        <v>495</v>
      </c>
      <c r="J67" s="175">
        <f t="shared" si="26"/>
        <v>495</v>
      </c>
      <c r="K67" s="175">
        <f t="shared" si="26"/>
        <v>495</v>
      </c>
      <c r="L67" s="175">
        <f t="shared" si="26"/>
        <v>495</v>
      </c>
      <c r="M67" s="175">
        <f t="shared" si="26"/>
        <v>495</v>
      </c>
      <c r="N67" s="175">
        <f t="shared" si="26"/>
        <v>495</v>
      </c>
      <c r="O67" s="14"/>
      <c r="P67" s="8"/>
      <c r="Q67" s="98"/>
      <c r="R67" s="8" t="s">
        <v>31</v>
      </c>
      <c r="T67" s="175">
        <f>Assumptions!F80</f>
        <v>495</v>
      </c>
      <c r="U67" s="175">
        <f>Assumptions!G80</f>
        <v>445.5</v>
      </c>
      <c r="V67" s="175">
        <f>Assumptions!H80</f>
        <v>356.40000000000003</v>
      </c>
      <c r="W67" s="175">
        <f>Assumptions!I80</f>
        <v>285.12000000000006</v>
      </c>
      <c r="X67" s="175"/>
    </row>
    <row r="68" spans="2:24" ht="14" customHeight="1" x14ac:dyDescent="0.3">
      <c r="B68" s="8" t="s">
        <v>136</v>
      </c>
      <c r="C68" s="186">
        <f t="shared" ref="C68:N68" si="27">C66*C67</f>
        <v>0</v>
      </c>
      <c r="D68" s="186">
        <f t="shared" si="27"/>
        <v>0</v>
      </c>
      <c r="E68" s="186">
        <f t="shared" si="27"/>
        <v>0</v>
      </c>
      <c r="F68" s="186">
        <f t="shared" si="27"/>
        <v>6355.8968219999997</v>
      </c>
      <c r="G68" s="186">
        <f t="shared" si="27"/>
        <v>8355.9120480000001</v>
      </c>
      <c r="H68" s="186">
        <f t="shared" si="27"/>
        <v>10332.862848000002</v>
      </c>
      <c r="I68" s="186">
        <f t="shared" si="27"/>
        <v>7495.9384500000015</v>
      </c>
      <c r="J68" s="186">
        <f t="shared" si="27"/>
        <v>6558.5342790000013</v>
      </c>
      <c r="K68" s="186">
        <f t="shared" si="27"/>
        <v>11467.962099000002</v>
      </c>
      <c r="L68" s="186">
        <f t="shared" si="27"/>
        <v>7749.6471359999996</v>
      </c>
      <c r="M68" s="186">
        <f t="shared" si="27"/>
        <v>7998.4134450000001</v>
      </c>
      <c r="N68" s="186">
        <f t="shared" si="27"/>
        <v>9057.7295820000018</v>
      </c>
      <c r="O68" s="186">
        <f>SUM(C68:N68)</f>
        <v>75372.896709000008</v>
      </c>
      <c r="P68" s="8"/>
      <c r="Q68" s="98"/>
      <c r="R68" s="8" t="s">
        <v>136</v>
      </c>
      <c r="T68" s="186">
        <f>T66*T67</f>
        <v>75372.896709000022</v>
      </c>
      <c r="U68" s="186">
        <f>U66*U67</f>
        <v>426395.07478655997</v>
      </c>
      <c r="V68" s="186">
        <f>V66*V67</f>
        <v>1137053.5327641603</v>
      </c>
      <c r="W68" s="186">
        <f>W66*W67</f>
        <v>2910857.0438762507</v>
      </c>
      <c r="X68" s="186">
        <f>SUM(T68:W68)</f>
        <v>4549678.5481359717</v>
      </c>
    </row>
    <row r="69" spans="2:24" ht="14" customHeight="1" x14ac:dyDescent="0.3">
      <c r="B69" s="10" t="s">
        <v>152</v>
      </c>
      <c r="C69" s="16">
        <f>'Forecast Sold Cars'!C67</f>
        <v>0</v>
      </c>
      <c r="D69" s="16">
        <f>'Forecast Sold Cars'!D67</f>
        <v>0</v>
      </c>
      <c r="E69" s="16">
        <f>'Forecast Sold Cars'!E67</f>
        <v>0</v>
      </c>
      <c r="F69" s="16">
        <f>'Forecast Sold Cars'!F67</f>
        <v>32.100488999999996</v>
      </c>
      <c r="G69" s="16">
        <f>'Forecast Sold Cars'!G67</f>
        <v>42.201576000000003</v>
      </c>
      <c r="H69" s="16">
        <f>'Forecast Sold Cars'!H67</f>
        <v>52.186176000000003</v>
      </c>
      <c r="I69" s="16">
        <f>'Forecast Sold Cars'!I67</f>
        <v>37.858275000000006</v>
      </c>
      <c r="J69" s="16">
        <f>'Forecast Sold Cars'!J67</f>
        <v>33.123910500000001</v>
      </c>
      <c r="K69" s="16">
        <f>'Forecast Sold Cars'!K67</f>
        <v>57.919000500000003</v>
      </c>
      <c r="L69" s="16">
        <f>'Forecast Sold Cars'!L67</f>
        <v>39.139631999999999</v>
      </c>
      <c r="M69" s="16">
        <f>'Forecast Sold Cars'!M67</f>
        <v>40.396027500000002</v>
      </c>
      <c r="N69" s="16">
        <f>'Forecast Sold Cars'!N67</f>
        <v>45.746109000000004</v>
      </c>
      <c r="O69" s="171">
        <f>SUM(C69:N69)</f>
        <v>380.67119550000001</v>
      </c>
      <c r="P69" s="15"/>
      <c r="Q69" s="99"/>
      <c r="R69" s="10" t="s">
        <v>152</v>
      </c>
      <c r="T69" s="16">
        <f>O69</f>
        <v>380.67119550000001</v>
      </c>
      <c r="U69" s="16">
        <f>'Forecast Sold Cars'!E75</f>
        <v>2392.7894207999998</v>
      </c>
      <c r="V69" s="16">
        <f>'Forecast Sold Cars'!F75</f>
        <v>7975.9647360000008</v>
      </c>
      <c r="W69" s="16">
        <f>'Forecast Sold Cars'!G75</f>
        <v>25523.087155200003</v>
      </c>
      <c r="X69" s="16">
        <f>SUM(T69:W69)</f>
        <v>36272.512507500003</v>
      </c>
    </row>
    <row r="70" spans="2:24" ht="14" customHeight="1" x14ac:dyDescent="0.3">
      <c r="B70" s="10" t="s">
        <v>28</v>
      </c>
      <c r="C70" s="189">
        <f>SUM(C65,C68)</f>
        <v>0</v>
      </c>
      <c r="D70" s="189">
        <f t="shared" ref="D70:N70" si="28">SUM(D65,D68)</f>
        <v>0</v>
      </c>
      <c r="E70" s="189">
        <f t="shared" si="28"/>
        <v>0</v>
      </c>
      <c r="F70" s="189">
        <f t="shared" si="28"/>
        <v>17796.511101599997</v>
      </c>
      <c r="G70" s="189">
        <f t="shared" si="28"/>
        <v>23396.5537344</v>
      </c>
      <c r="H70" s="189">
        <f t="shared" si="28"/>
        <v>28932.015974400005</v>
      </c>
      <c r="I70" s="189">
        <f t="shared" si="28"/>
        <v>20988.627660000006</v>
      </c>
      <c r="J70" s="189">
        <f t="shared" si="28"/>
        <v>18363.895981200003</v>
      </c>
      <c r="K70" s="189">
        <f t="shared" si="28"/>
        <v>32110.293877200005</v>
      </c>
      <c r="L70" s="189">
        <f t="shared" si="28"/>
        <v>21699.011980799998</v>
      </c>
      <c r="M70" s="189">
        <f t="shared" si="28"/>
        <v>22395.557646000001</v>
      </c>
      <c r="N70" s="189">
        <f t="shared" si="28"/>
        <v>25361.642829600001</v>
      </c>
      <c r="O70" s="190">
        <f>SUM(C70:N70)</f>
        <v>211044.11078520003</v>
      </c>
      <c r="Q70" s="97"/>
      <c r="R70" s="10" t="s">
        <v>28</v>
      </c>
      <c r="T70" s="189">
        <f>SUM(T65,T68)</f>
        <v>211044.1107852</v>
      </c>
      <c r="U70" s="189">
        <f>SUM(U65,U68)</f>
        <v>1193906.2094023679</v>
      </c>
      <c r="V70" s="189">
        <f>SUM(V65,V68)</f>
        <v>3183749.8917396488</v>
      </c>
      <c r="W70" s="189">
        <f>SUM(W65,W68)</f>
        <v>8150399.7228535004</v>
      </c>
      <c r="X70" s="190">
        <f>SUM(T70:W70)</f>
        <v>12739099.934780717</v>
      </c>
    </row>
    <row r="71" spans="2:24" ht="14" customHeight="1" x14ac:dyDescent="0.3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Q71" s="97"/>
      <c r="S71" s="43"/>
      <c r="T71" s="43"/>
      <c r="U71" s="43"/>
      <c r="V71" s="43"/>
      <c r="W71" s="43"/>
      <c r="X71" s="1"/>
    </row>
    <row r="72" spans="2:24" ht="14" customHeight="1" x14ac:dyDescent="0.3">
      <c r="B72" s="7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Q72" s="97"/>
      <c r="R72" s="7"/>
      <c r="S72" s="44"/>
      <c r="T72" s="44"/>
      <c r="U72" s="44"/>
      <c r="V72" s="44"/>
      <c r="W72" s="44"/>
      <c r="X72" s="1"/>
    </row>
    <row r="73" spans="2:24" ht="14" customHeight="1" x14ac:dyDescent="0.3">
      <c r="B73" s="7" t="s">
        <v>138</v>
      </c>
      <c r="Q73" s="97"/>
      <c r="R73" s="7" t="s">
        <v>30</v>
      </c>
      <c r="X73" s="1"/>
    </row>
    <row r="74" spans="2:24" ht="14" customHeight="1" x14ac:dyDescent="0.3">
      <c r="B74" s="17"/>
      <c r="C74" s="92" t="s">
        <v>139</v>
      </c>
      <c r="D74" s="92" t="s">
        <v>140</v>
      </c>
      <c r="E74" s="92" t="s">
        <v>141</v>
      </c>
      <c r="F74" s="92" t="s">
        <v>142</v>
      </c>
      <c r="G74" s="92" t="s">
        <v>143</v>
      </c>
      <c r="H74" s="92" t="s">
        <v>144</v>
      </c>
      <c r="I74" s="92" t="s">
        <v>145</v>
      </c>
      <c r="J74" s="92" t="s">
        <v>146</v>
      </c>
      <c r="K74" s="92" t="s">
        <v>147</v>
      </c>
      <c r="L74" s="92" t="s">
        <v>148</v>
      </c>
      <c r="M74" s="92" t="s">
        <v>149</v>
      </c>
      <c r="N74" s="92" t="s">
        <v>150</v>
      </c>
      <c r="O74" s="92" t="s">
        <v>16</v>
      </c>
      <c r="P74" s="5"/>
      <c r="Q74" s="100"/>
      <c r="R74" s="17"/>
      <c r="T74" s="46">
        <v>2020</v>
      </c>
      <c r="U74" s="46">
        <v>2021</v>
      </c>
      <c r="V74" s="46">
        <v>2022</v>
      </c>
      <c r="W74" s="46">
        <v>2023</v>
      </c>
      <c r="X74" s="46" t="s">
        <v>16</v>
      </c>
    </row>
    <row r="75" spans="2:24" ht="14" customHeight="1" x14ac:dyDescent="0.3">
      <c r="B75" s="8" t="s">
        <v>27</v>
      </c>
      <c r="C75" s="45">
        <f>C69</f>
        <v>0</v>
      </c>
      <c r="D75" s="45">
        <f t="shared" ref="D75:N75" si="29">D69</f>
        <v>0</v>
      </c>
      <c r="E75" s="45">
        <f t="shared" si="29"/>
        <v>0</v>
      </c>
      <c r="F75" s="45">
        <f t="shared" si="29"/>
        <v>32.100488999999996</v>
      </c>
      <c r="G75" s="45">
        <f t="shared" si="29"/>
        <v>42.201576000000003</v>
      </c>
      <c r="H75" s="45">
        <f t="shared" si="29"/>
        <v>52.186176000000003</v>
      </c>
      <c r="I75" s="45">
        <f t="shared" si="29"/>
        <v>37.858275000000006</v>
      </c>
      <c r="J75" s="45">
        <f t="shared" si="29"/>
        <v>33.123910500000001</v>
      </c>
      <c r="K75" s="45">
        <f t="shared" si="29"/>
        <v>57.919000500000003</v>
      </c>
      <c r="L75" s="45">
        <f t="shared" si="29"/>
        <v>39.139631999999999</v>
      </c>
      <c r="M75" s="45">
        <f t="shared" si="29"/>
        <v>40.396027500000002</v>
      </c>
      <c r="N75" s="45">
        <f t="shared" si="29"/>
        <v>45.746109000000004</v>
      </c>
      <c r="O75" s="18">
        <f>SUM(C75:N75)</f>
        <v>380.67119550000001</v>
      </c>
      <c r="P75" s="5"/>
      <c r="Q75" s="100"/>
      <c r="R75" s="8" t="s">
        <v>27</v>
      </c>
      <c r="T75" s="45">
        <f>T69</f>
        <v>380.67119550000001</v>
      </c>
      <c r="U75" s="45">
        <f>U69</f>
        <v>2392.7894207999998</v>
      </c>
      <c r="V75" s="45">
        <f>V69</f>
        <v>7975.9647360000008</v>
      </c>
      <c r="W75" s="45">
        <f>W69</f>
        <v>25523.087155200003</v>
      </c>
      <c r="X75" s="45">
        <f>SUM(T75:W75)</f>
        <v>36272.512507500003</v>
      </c>
    </row>
    <row r="76" spans="2:24" ht="14" customHeight="1" x14ac:dyDescent="0.3">
      <c r="B76" s="8" t="s">
        <v>33</v>
      </c>
      <c r="C76" s="90">
        <f>Assumptions!$F$81</f>
        <v>720</v>
      </c>
      <c r="D76" s="90">
        <f>Assumptions!$F$81</f>
        <v>720</v>
      </c>
      <c r="E76" s="90">
        <f>Assumptions!$F$81</f>
        <v>720</v>
      </c>
      <c r="F76" s="90">
        <f>Assumptions!$F$81</f>
        <v>720</v>
      </c>
      <c r="G76" s="90">
        <f>Assumptions!$F$81</f>
        <v>720</v>
      </c>
      <c r="H76" s="90">
        <f>Assumptions!$F$81</f>
        <v>720</v>
      </c>
      <c r="I76" s="90">
        <f>Assumptions!$F$81</f>
        <v>720</v>
      </c>
      <c r="J76" s="90">
        <f>Assumptions!$F$81</f>
        <v>720</v>
      </c>
      <c r="K76" s="90">
        <f>Assumptions!$F$81</f>
        <v>720</v>
      </c>
      <c r="L76" s="90">
        <f>Assumptions!$F$81</f>
        <v>720</v>
      </c>
      <c r="M76" s="90">
        <f>Assumptions!$F$81</f>
        <v>720</v>
      </c>
      <c r="N76" s="90">
        <f>Assumptions!$F$81</f>
        <v>720</v>
      </c>
      <c r="O76" s="91"/>
      <c r="P76" s="5"/>
      <c r="Q76" s="100"/>
      <c r="R76" s="8" t="s">
        <v>33</v>
      </c>
      <c r="T76" s="193">
        <f>Assumptions!F81</f>
        <v>720</v>
      </c>
      <c r="U76" s="193">
        <f>Assumptions!G81</f>
        <v>648</v>
      </c>
      <c r="V76" s="193">
        <f>Assumptions!H81</f>
        <v>518.4</v>
      </c>
      <c r="W76" s="193">
        <f>Assumptions!I81</f>
        <v>414.72</v>
      </c>
      <c r="X76" s="193"/>
    </row>
    <row r="77" spans="2:24" ht="14" customHeight="1" x14ac:dyDescent="0.3">
      <c r="B77" s="10" t="s">
        <v>28</v>
      </c>
      <c r="C77" s="191">
        <f t="shared" ref="C77:N77" si="30">C76*C75</f>
        <v>0</v>
      </c>
      <c r="D77" s="191">
        <f t="shared" si="30"/>
        <v>0</v>
      </c>
      <c r="E77" s="191">
        <f t="shared" si="30"/>
        <v>0</v>
      </c>
      <c r="F77" s="191">
        <f t="shared" si="30"/>
        <v>23112.352079999997</v>
      </c>
      <c r="G77" s="191">
        <f t="shared" si="30"/>
        <v>30385.134720000002</v>
      </c>
      <c r="H77" s="191">
        <f t="shared" si="30"/>
        <v>37574.046720000006</v>
      </c>
      <c r="I77" s="191">
        <f t="shared" si="30"/>
        <v>27257.958000000006</v>
      </c>
      <c r="J77" s="191">
        <f t="shared" si="30"/>
        <v>23849.215560000001</v>
      </c>
      <c r="K77" s="191">
        <f t="shared" si="30"/>
        <v>41701.680359999998</v>
      </c>
      <c r="L77" s="191">
        <f t="shared" si="30"/>
        <v>28180.535039999999</v>
      </c>
      <c r="M77" s="191">
        <f t="shared" si="30"/>
        <v>29085.139800000001</v>
      </c>
      <c r="N77" s="191">
        <f t="shared" si="30"/>
        <v>32937.198480000006</v>
      </c>
      <c r="O77" s="190">
        <f>SUM(C77:N77)</f>
        <v>274083.26076000003</v>
      </c>
      <c r="P77" s="5"/>
      <c r="Q77" s="100"/>
      <c r="R77" s="10" t="s">
        <v>28</v>
      </c>
      <c r="T77" s="191">
        <f>T76*T75</f>
        <v>274083.26076000003</v>
      </c>
      <c r="U77" s="191">
        <f>U76*U75</f>
        <v>1550527.5446783998</v>
      </c>
      <c r="V77" s="191">
        <f>V76*V75</f>
        <v>4134740.1191424001</v>
      </c>
      <c r="W77" s="191">
        <f>W76*W75</f>
        <v>10584934.705004545</v>
      </c>
      <c r="X77" s="194">
        <f>SUM(T77:W77)</f>
        <v>16544285.629585344</v>
      </c>
    </row>
    <row r="80" spans="2:24" ht="14" customHeight="1" x14ac:dyDescent="0.3">
      <c r="B80" s="10" t="s">
        <v>252</v>
      </c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9"/>
      <c r="P80" s="5"/>
      <c r="Q80" s="308"/>
      <c r="R80" s="10" t="s">
        <v>252</v>
      </c>
      <c r="S80" s="307"/>
      <c r="T80" s="307"/>
      <c r="U80" s="307"/>
      <c r="V80" s="307"/>
      <c r="W80" s="307"/>
      <c r="X80" s="309"/>
    </row>
    <row r="81" spans="2:24" ht="14" customHeight="1" x14ac:dyDescent="0.3">
      <c r="B81" s="17"/>
      <c r="C81" s="46" t="s">
        <v>139</v>
      </c>
      <c r="D81" s="46" t="s">
        <v>140</v>
      </c>
      <c r="E81" s="46" t="s">
        <v>141</v>
      </c>
      <c r="F81" s="46" t="s">
        <v>142</v>
      </c>
      <c r="G81" s="46" t="s">
        <v>143</v>
      </c>
      <c r="H81" s="46" t="s">
        <v>144</v>
      </c>
      <c r="I81" s="46" t="s">
        <v>145</v>
      </c>
      <c r="J81" s="46" t="s">
        <v>146</v>
      </c>
      <c r="K81" s="46" t="s">
        <v>147</v>
      </c>
      <c r="L81" s="46" t="s">
        <v>148</v>
      </c>
      <c r="M81" s="46" t="s">
        <v>149</v>
      </c>
      <c r="N81" s="46" t="s">
        <v>150</v>
      </c>
      <c r="O81" s="46" t="s">
        <v>16</v>
      </c>
      <c r="P81" s="5"/>
      <c r="Q81" s="308"/>
      <c r="R81" s="17"/>
      <c r="S81" s="46">
        <v>2019</v>
      </c>
      <c r="T81" s="46">
        <v>2020</v>
      </c>
      <c r="U81" s="46">
        <v>2021</v>
      </c>
      <c r="V81" s="46">
        <v>2022</v>
      </c>
      <c r="W81" s="46">
        <v>2023</v>
      </c>
      <c r="X81" s="46" t="s">
        <v>16</v>
      </c>
    </row>
    <row r="82" spans="2:24" ht="14" customHeight="1" x14ac:dyDescent="0.3">
      <c r="B82" s="5" t="s">
        <v>249</v>
      </c>
      <c r="C82" s="45">
        <v>0</v>
      </c>
      <c r="D82" s="45">
        <v>0</v>
      </c>
      <c r="E82" s="45">
        <v>0</v>
      </c>
      <c r="F82" s="45">
        <f>'Forecast Users'!F29</f>
        <v>48.150733499999994</v>
      </c>
      <c r="G82" s="45">
        <f>'Forecast Users'!G29</f>
        <v>106.63802414999999</v>
      </c>
      <c r="H82" s="45">
        <f>'Forecast Users'!H29</f>
        <v>174.253485735</v>
      </c>
      <c r="I82" s="45">
        <f>'Forecast Users'!I29</f>
        <v>213.61554966149998</v>
      </c>
      <c r="J82" s="45">
        <f>'Forecast Users'!J29</f>
        <v>241.93986044534998</v>
      </c>
      <c r="K82" s="45">
        <f>'Forecast Users'!K29</f>
        <v>304.62437515081501</v>
      </c>
      <c r="L82" s="45">
        <f>'Forecast Users'!L29</f>
        <v>332.87138563573353</v>
      </c>
      <c r="M82" s="45">
        <f>'Forecast Users'!M29</f>
        <v>360.17828832216014</v>
      </c>
      <c r="N82" s="45">
        <f>'Forecast Users'!N29</f>
        <v>392.77962298994413</v>
      </c>
      <c r="O82" s="18">
        <f>N82</f>
        <v>392.77962298994413</v>
      </c>
      <c r="P82" s="5"/>
      <c r="Q82" s="308"/>
      <c r="R82" s="5" t="s">
        <v>251</v>
      </c>
      <c r="S82" s="357"/>
      <c r="T82" s="357">
        <f>O82</f>
        <v>392.77962298994413</v>
      </c>
      <c r="U82" s="357">
        <f>'Forecast Users'!E37</f>
        <v>2746.2910814909496</v>
      </c>
      <c r="V82" s="357">
        <f>'Forecast Users'!F37</f>
        <v>18423.591445341855</v>
      </c>
      <c r="W82" s="357">
        <f>'Forecast Users'!G37</f>
        <v>64437.020716807674</v>
      </c>
      <c r="X82" s="263">
        <f>W82</f>
        <v>64437.020716807674</v>
      </c>
    </row>
    <row r="83" spans="2:24" ht="14" customHeight="1" x14ac:dyDescent="0.3">
      <c r="B83" s="5" t="s">
        <v>250</v>
      </c>
      <c r="C83" s="390"/>
      <c r="D83" s="390"/>
      <c r="E83" s="390"/>
      <c r="F83" s="390">
        <f>'Forecast Users'!F30</f>
        <v>0</v>
      </c>
      <c r="G83" s="390">
        <f>'Forecast Users'!G30</f>
        <v>0</v>
      </c>
      <c r="H83" s="390">
        <f>'Forecast Users'!H30</f>
        <v>0</v>
      </c>
      <c r="I83" s="390">
        <f>'Forecast Users'!I30</f>
        <v>0</v>
      </c>
      <c r="J83" s="390">
        <f>'Forecast Users'!J30</f>
        <v>0</v>
      </c>
      <c r="K83" s="390">
        <f>'Forecast Users'!K30</f>
        <v>0</v>
      </c>
      <c r="L83" s="390">
        <f>'Forecast Users'!L30</f>
        <v>0</v>
      </c>
      <c r="M83" s="390">
        <f>'Forecast Users'!M30</f>
        <v>0</v>
      </c>
      <c r="N83" s="390">
        <f>'Forecast Users'!N30</f>
        <v>0</v>
      </c>
      <c r="O83" s="391">
        <f>SUM(F83:N83)</f>
        <v>0</v>
      </c>
      <c r="P83" s="5"/>
      <c r="Q83" s="308"/>
      <c r="R83" s="5" t="s">
        <v>250</v>
      </c>
      <c r="S83" s="395"/>
      <c r="T83" s="395">
        <f t="shared" ref="T83:T85" si="31">O83</f>
        <v>0</v>
      </c>
      <c r="U83" s="395">
        <f>'Forecast Users'!E38</f>
        <v>21970.328651927597</v>
      </c>
      <c r="V83" s="395">
        <f>'Forecast Users'!F38</f>
        <v>165812.3230080767</v>
      </c>
      <c r="W83" s="395">
        <f>'Forecast Users'!G38</f>
        <v>644370.20716807677</v>
      </c>
      <c r="X83" s="396">
        <f>SUM(S83:W83)</f>
        <v>832152.85882808105</v>
      </c>
    </row>
    <row r="84" spans="2:24" ht="14" customHeight="1" x14ac:dyDescent="0.3">
      <c r="B84" s="5" t="s">
        <v>240</v>
      </c>
      <c r="C84" s="358">
        <v>0</v>
      </c>
      <c r="D84" s="358">
        <v>0</v>
      </c>
      <c r="E84" s="358">
        <v>0</v>
      </c>
      <c r="F84" s="358">
        <f>Assumptions!F84</f>
        <v>10</v>
      </c>
      <c r="G84" s="358">
        <f>F84</f>
        <v>10</v>
      </c>
      <c r="H84" s="358">
        <f t="shared" ref="H84:N84" si="32">G84</f>
        <v>10</v>
      </c>
      <c r="I84" s="358">
        <f t="shared" si="32"/>
        <v>10</v>
      </c>
      <c r="J84" s="358">
        <f t="shared" si="32"/>
        <v>10</v>
      </c>
      <c r="K84" s="358">
        <f t="shared" si="32"/>
        <v>10</v>
      </c>
      <c r="L84" s="358">
        <f t="shared" si="32"/>
        <v>10</v>
      </c>
      <c r="M84" s="358">
        <f t="shared" si="32"/>
        <v>10</v>
      </c>
      <c r="N84" s="358">
        <f t="shared" si="32"/>
        <v>10</v>
      </c>
      <c r="O84" s="264"/>
      <c r="P84" s="5"/>
      <c r="Q84" s="308"/>
      <c r="R84" s="5" t="s">
        <v>240</v>
      </c>
      <c r="S84" s="358"/>
      <c r="T84" s="394">
        <v>10</v>
      </c>
      <c r="U84" s="358">
        <v>10</v>
      </c>
      <c r="V84" s="358">
        <v>10</v>
      </c>
      <c r="W84" s="358">
        <v>10</v>
      </c>
      <c r="X84" s="264"/>
    </row>
    <row r="85" spans="2:24" ht="14" customHeight="1" x14ac:dyDescent="0.3">
      <c r="B85" s="10" t="s">
        <v>28</v>
      </c>
      <c r="C85" s="392">
        <f>C84*C82</f>
        <v>0</v>
      </c>
      <c r="D85" s="392">
        <f>D84*D82</f>
        <v>0</v>
      </c>
      <c r="E85" s="392">
        <f>E84*E82</f>
        <v>0</v>
      </c>
      <c r="F85" s="392">
        <f>F84*F83</f>
        <v>0</v>
      </c>
      <c r="G85" s="392">
        <f t="shared" ref="G85:N85" si="33">G84*G83</f>
        <v>0</v>
      </c>
      <c r="H85" s="392">
        <f t="shared" si="33"/>
        <v>0</v>
      </c>
      <c r="I85" s="392">
        <f t="shared" si="33"/>
        <v>0</v>
      </c>
      <c r="J85" s="392">
        <f t="shared" si="33"/>
        <v>0</v>
      </c>
      <c r="K85" s="392">
        <f t="shared" si="33"/>
        <v>0</v>
      </c>
      <c r="L85" s="392">
        <f t="shared" si="33"/>
        <v>0</v>
      </c>
      <c r="M85" s="392">
        <f t="shared" si="33"/>
        <v>0</v>
      </c>
      <c r="N85" s="392">
        <f t="shared" si="33"/>
        <v>0</v>
      </c>
      <c r="O85" s="393">
        <f>SUM(F85:N85)</f>
        <v>0</v>
      </c>
      <c r="R85" s="10" t="s">
        <v>28</v>
      </c>
      <c r="S85" s="392"/>
      <c r="T85" s="395">
        <f t="shared" si="31"/>
        <v>0</v>
      </c>
      <c r="U85" s="392">
        <f t="shared" ref="U85" si="34">U84*U83</f>
        <v>219703.28651927598</v>
      </c>
      <c r="V85" s="392">
        <f t="shared" ref="V85" si="35">V84*V83</f>
        <v>1658123.2300807671</v>
      </c>
      <c r="W85" s="392">
        <f t="shared" ref="W85" si="36">W84*W83</f>
        <v>6443702.0716807675</v>
      </c>
      <c r="X85" s="393">
        <f>SUM(S85:W85)</f>
        <v>8321528.58828081</v>
      </c>
    </row>
    <row r="92" spans="2:24" ht="20" customHeight="1" x14ac:dyDescent="0.3">
      <c r="B92" s="104" t="s">
        <v>24</v>
      </c>
      <c r="C92" s="7"/>
    </row>
    <row r="94" spans="2:24" ht="14" customHeight="1" x14ac:dyDescent="0.3">
      <c r="B94" s="7" t="s">
        <v>137</v>
      </c>
      <c r="M94" s="1"/>
      <c r="N94" s="1"/>
      <c r="O94" s="1"/>
      <c r="P94" s="6"/>
      <c r="Q94" s="94"/>
      <c r="R94" s="7" t="s">
        <v>34</v>
      </c>
    </row>
    <row r="95" spans="2:24" ht="14" customHeight="1" x14ac:dyDescent="0.3">
      <c r="C95" s="105" t="s">
        <v>139</v>
      </c>
      <c r="D95" s="105" t="s">
        <v>140</v>
      </c>
      <c r="E95" s="105" t="s">
        <v>141</v>
      </c>
      <c r="F95" s="105" t="s">
        <v>142</v>
      </c>
      <c r="G95" s="105" t="s">
        <v>143</v>
      </c>
      <c r="H95" s="105" t="s">
        <v>144</v>
      </c>
      <c r="I95" s="105" t="s">
        <v>145</v>
      </c>
      <c r="J95" s="105" t="s">
        <v>146</v>
      </c>
      <c r="K95" s="105" t="s">
        <v>147</v>
      </c>
      <c r="L95" s="105" t="s">
        <v>148</v>
      </c>
      <c r="M95" s="105" t="s">
        <v>149</v>
      </c>
      <c r="N95" s="105" t="s">
        <v>150</v>
      </c>
      <c r="O95" s="105" t="s">
        <v>16</v>
      </c>
      <c r="P95" s="6"/>
      <c r="Q95" s="94"/>
      <c r="R95" s="20" t="s">
        <v>34</v>
      </c>
      <c r="T95" s="105">
        <v>2020</v>
      </c>
      <c r="U95" s="105">
        <v>2021</v>
      </c>
      <c r="V95" s="105">
        <v>2022</v>
      </c>
      <c r="W95" s="105">
        <v>2023</v>
      </c>
      <c r="X95" s="105" t="s">
        <v>16</v>
      </c>
    </row>
    <row r="96" spans="2:24" ht="14" customHeight="1" x14ac:dyDescent="0.3">
      <c r="B96" s="8" t="s">
        <v>26</v>
      </c>
      <c r="C96" s="175">
        <f>C113</f>
        <v>0</v>
      </c>
      <c r="D96" s="175">
        <f t="shared" ref="D96:N96" si="37">D113</f>
        <v>0</v>
      </c>
      <c r="E96" s="175">
        <f t="shared" si="37"/>
        <v>0</v>
      </c>
      <c r="F96" s="175">
        <f t="shared" si="37"/>
        <v>0</v>
      </c>
      <c r="G96" s="175">
        <f t="shared" si="37"/>
        <v>0</v>
      </c>
      <c r="H96" s="175">
        <f t="shared" si="37"/>
        <v>0</v>
      </c>
      <c r="I96" s="175">
        <f t="shared" si="37"/>
        <v>0</v>
      </c>
      <c r="J96" s="175">
        <f t="shared" si="37"/>
        <v>0</v>
      </c>
      <c r="K96" s="175">
        <f t="shared" si="37"/>
        <v>0</v>
      </c>
      <c r="L96" s="175">
        <f t="shared" si="37"/>
        <v>0</v>
      </c>
      <c r="M96" s="175">
        <f t="shared" si="37"/>
        <v>0</v>
      </c>
      <c r="N96" s="175">
        <f t="shared" si="37"/>
        <v>0</v>
      </c>
      <c r="O96" s="181">
        <f>SUM(C96:N96)</f>
        <v>0</v>
      </c>
      <c r="P96" s="4"/>
      <c r="Q96" s="95"/>
      <c r="R96" s="8" t="s">
        <v>26</v>
      </c>
      <c r="T96" s="175">
        <f>O113</f>
        <v>0</v>
      </c>
      <c r="U96" s="175">
        <f>U113</f>
        <v>363307.9843007999</v>
      </c>
      <c r="V96" s="175">
        <f>V113</f>
        <v>1743878.3246438396</v>
      </c>
      <c r="W96" s="175">
        <f>W113</f>
        <v>4650342.1990502393</v>
      </c>
      <c r="X96" s="175">
        <f>X113</f>
        <v>6757528.507994879</v>
      </c>
    </row>
    <row r="97" spans="2:24" ht="14" customHeight="1" x14ac:dyDescent="0.3">
      <c r="B97" s="8" t="s">
        <v>27</v>
      </c>
      <c r="C97" s="195">
        <f>C120</f>
        <v>0</v>
      </c>
      <c r="D97" s="195">
        <f t="shared" ref="D97:N97" si="38">D120</f>
        <v>0</v>
      </c>
      <c r="E97" s="195">
        <f t="shared" si="38"/>
        <v>0</v>
      </c>
      <c r="F97" s="195">
        <f t="shared" si="38"/>
        <v>0</v>
      </c>
      <c r="G97" s="195">
        <f t="shared" si="38"/>
        <v>0</v>
      </c>
      <c r="H97" s="195">
        <f t="shared" si="38"/>
        <v>0</v>
      </c>
      <c r="I97" s="195">
        <f t="shared" si="38"/>
        <v>0</v>
      </c>
      <c r="J97" s="195">
        <f t="shared" si="38"/>
        <v>0</v>
      </c>
      <c r="K97" s="195">
        <f t="shared" si="38"/>
        <v>0</v>
      </c>
      <c r="L97" s="195">
        <f t="shared" si="38"/>
        <v>0</v>
      </c>
      <c r="M97" s="195">
        <f t="shared" si="38"/>
        <v>0</v>
      </c>
      <c r="N97" s="195">
        <f t="shared" si="38"/>
        <v>0</v>
      </c>
      <c r="O97" s="195">
        <f>SUM(C97:N97)</f>
        <v>0</v>
      </c>
      <c r="P97" s="6"/>
      <c r="Q97" s="96"/>
      <c r="R97" s="8" t="s">
        <v>27</v>
      </c>
      <c r="T97" s="195">
        <f>O120</f>
        <v>0</v>
      </c>
      <c r="U97" s="195">
        <f>U120</f>
        <v>471828.55103999987</v>
      </c>
      <c r="V97" s="195">
        <f>V120</f>
        <v>2264777.0449919994</v>
      </c>
      <c r="W97" s="195">
        <f>W120</f>
        <v>6039405.4533119984</v>
      </c>
      <c r="X97" s="195">
        <f>X120</f>
        <v>8776011.0493439976</v>
      </c>
    </row>
    <row r="98" spans="2:24" ht="14" customHeight="1" x14ac:dyDescent="0.3">
      <c r="B98" s="8" t="s">
        <v>241</v>
      </c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6"/>
      <c r="Q98" s="96"/>
      <c r="R98" s="8" t="s">
        <v>241</v>
      </c>
      <c r="T98" s="195"/>
      <c r="U98" s="195">
        <f>U128</f>
        <v>0</v>
      </c>
      <c r="V98" s="195">
        <f t="shared" ref="V98:W98" si="39">V128</f>
        <v>746265.30476919189</v>
      </c>
      <c r="W98" s="195">
        <f t="shared" si="39"/>
        <v>5998133.0770788053</v>
      </c>
      <c r="X98" s="195">
        <f>SUM(U98:W98)</f>
        <v>6744398.3818479972</v>
      </c>
    </row>
    <row r="99" spans="2:24" ht="14" customHeight="1" x14ac:dyDescent="0.3">
      <c r="B99" s="10" t="s">
        <v>28</v>
      </c>
      <c r="C99" s="221">
        <f>SUM(C96:C97)</f>
        <v>0</v>
      </c>
      <c r="D99" s="221">
        <f t="shared" ref="D99:N99" si="40">SUM(D96:D97)</f>
        <v>0</v>
      </c>
      <c r="E99" s="221">
        <f t="shared" si="40"/>
        <v>0</v>
      </c>
      <c r="F99" s="221">
        <f t="shared" si="40"/>
        <v>0</v>
      </c>
      <c r="G99" s="221">
        <f t="shared" si="40"/>
        <v>0</v>
      </c>
      <c r="H99" s="221">
        <f t="shared" si="40"/>
        <v>0</v>
      </c>
      <c r="I99" s="221">
        <f t="shared" si="40"/>
        <v>0</v>
      </c>
      <c r="J99" s="221">
        <f t="shared" si="40"/>
        <v>0</v>
      </c>
      <c r="K99" s="221">
        <f t="shared" si="40"/>
        <v>0</v>
      </c>
      <c r="L99" s="221">
        <f t="shared" si="40"/>
        <v>0</v>
      </c>
      <c r="M99" s="221">
        <f t="shared" si="40"/>
        <v>0</v>
      </c>
      <c r="N99" s="221">
        <f t="shared" si="40"/>
        <v>0</v>
      </c>
      <c r="O99" s="222">
        <f>SUM(C99:N99)</f>
        <v>0</v>
      </c>
      <c r="P99" s="11"/>
      <c r="Q99" s="96"/>
      <c r="R99" s="10" t="s">
        <v>28</v>
      </c>
      <c r="T99" s="221">
        <f>SUM(T96:T97)</f>
        <v>0</v>
      </c>
      <c r="U99" s="221">
        <f>SUM(U96:U97)</f>
        <v>835136.53534079972</v>
      </c>
      <c r="V99" s="221">
        <f>SUM(V96:V97)</f>
        <v>4008655.369635839</v>
      </c>
      <c r="W99" s="221">
        <f>SUM(W96:W97)</f>
        <v>10689747.652362239</v>
      </c>
      <c r="X99" s="222">
        <f>SUM(X96:X97)</f>
        <v>15533539.557338877</v>
      </c>
    </row>
    <row r="100" spans="2:24" ht="14" customHeight="1" x14ac:dyDescent="0.3">
      <c r="B100" s="6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1"/>
      <c r="P100" s="6"/>
      <c r="Q100" s="94"/>
      <c r="R100" s="6"/>
      <c r="S100" s="1"/>
      <c r="T100" s="1"/>
      <c r="U100" s="1"/>
      <c r="V100" s="1"/>
      <c r="W100" s="1"/>
    </row>
    <row r="101" spans="2:24" ht="14" customHeight="1" x14ac:dyDescent="0.3">
      <c r="C101" s="42"/>
      <c r="D101" s="42"/>
      <c r="E101" s="42"/>
      <c r="F101" s="42"/>
      <c r="G101" s="42"/>
      <c r="Q101" s="97"/>
      <c r="W101" s="1"/>
    </row>
    <row r="102" spans="2:24" ht="14" customHeight="1" x14ac:dyDescent="0.3">
      <c r="C102" s="42"/>
      <c r="D102" s="42"/>
      <c r="E102" s="42"/>
      <c r="F102" s="42"/>
      <c r="G102" s="42"/>
      <c r="Q102" s="97"/>
      <c r="W102" s="1"/>
    </row>
    <row r="103" spans="2:24" ht="14" customHeight="1" x14ac:dyDescent="0.3"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Q103" s="97"/>
      <c r="R103" s="6"/>
      <c r="S103" s="1"/>
      <c r="T103" s="1"/>
      <c r="U103" s="1"/>
      <c r="W103" s="1"/>
    </row>
    <row r="104" spans="2:24" ht="14" customHeight="1" x14ac:dyDescent="0.3">
      <c r="B104" s="7" t="s">
        <v>151</v>
      </c>
      <c r="Q104" s="97"/>
      <c r="R104" s="7" t="s">
        <v>29</v>
      </c>
      <c r="W104" s="1"/>
    </row>
    <row r="105" spans="2:24" ht="14" customHeight="1" x14ac:dyDescent="0.3">
      <c r="B105" s="12"/>
      <c r="C105" s="105" t="s">
        <v>139</v>
      </c>
      <c r="D105" s="105" t="s">
        <v>140</v>
      </c>
      <c r="E105" s="105" t="s">
        <v>141</v>
      </c>
      <c r="F105" s="105" t="s">
        <v>142</v>
      </c>
      <c r="G105" s="105" t="s">
        <v>143</v>
      </c>
      <c r="H105" s="105" t="s">
        <v>144</v>
      </c>
      <c r="I105" s="105" t="s">
        <v>145</v>
      </c>
      <c r="J105" s="105" t="s">
        <v>146</v>
      </c>
      <c r="K105" s="105" t="s">
        <v>147</v>
      </c>
      <c r="L105" s="105" t="s">
        <v>148</v>
      </c>
      <c r="M105" s="105" t="s">
        <v>149</v>
      </c>
      <c r="N105" s="105" t="s">
        <v>150</v>
      </c>
      <c r="O105" s="105" t="s">
        <v>16</v>
      </c>
      <c r="P105" s="4"/>
      <c r="Q105" s="97"/>
      <c r="R105" s="12"/>
      <c r="T105" s="105">
        <v>2020</v>
      </c>
      <c r="U105" s="105">
        <v>2021</v>
      </c>
      <c r="V105" s="105">
        <v>2022</v>
      </c>
      <c r="W105" s="105">
        <v>2023</v>
      </c>
      <c r="X105" s="105" t="s">
        <v>16</v>
      </c>
    </row>
    <row r="106" spans="2:24" ht="14" customHeight="1" x14ac:dyDescent="0.3">
      <c r="B106" s="10" t="s">
        <v>123</v>
      </c>
      <c r="C106" s="13">
        <f>Assumptions!$F$89*Income!C112</f>
        <v>0</v>
      </c>
      <c r="D106" s="13">
        <f>Assumptions!$F$89*Income!D112</f>
        <v>0</v>
      </c>
      <c r="E106" s="13">
        <f>Assumptions!$F$89*Income!E112</f>
        <v>0</v>
      </c>
      <c r="F106" s="13">
        <f>Assumptions!$F$89*Income!F112</f>
        <v>0</v>
      </c>
      <c r="G106" s="13">
        <f>Assumptions!$F$89*Income!G112</f>
        <v>0</v>
      </c>
      <c r="H106" s="13">
        <f>Assumptions!$F$89*Income!H112</f>
        <v>0</v>
      </c>
      <c r="I106" s="13">
        <f>Assumptions!$F$89*Income!I112</f>
        <v>0</v>
      </c>
      <c r="J106" s="13">
        <f>Assumptions!$F$89*Income!J112</f>
        <v>0</v>
      </c>
      <c r="K106" s="13">
        <f>Assumptions!$F$89*Income!K112</f>
        <v>0</v>
      </c>
      <c r="L106" s="13">
        <f>Assumptions!$F$89*Income!L112</f>
        <v>0</v>
      </c>
      <c r="M106" s="13">
        <f>Assumptions!$F$89*Income!M112</f>
        <v>0</v>
      </c>
      <c r="N106" s="13">
        <f>Assumptions!$F$89*Income!N112</f>
        <v>0</v>
      </c>
      <c r="O106" s="13">
        <f>SUM(C106:N106)</f>
        <v>0</v>
      </c>
      <c r="Q106" s="97"/>
      <c r="R106" s="10" t="s">
        <v>123</v>
      </c>
      <c r="T106" s="171">
        <f>O106</f>
        <v>0</v>
      </c>
      <c r="U106" s="171">
        <f>Assumptions!G89*Income!U112</f>
        <v>436.87828799999988</v>
      </c>
      <c r="V106" s="171">
        <f>Assumptions!H89*Income!V112</f>
        <v>2621.2697279999993</v>
      </c>
      <c r="W106" s="171">
        <f>Assumptions!I89*Income!W112</f>
        <v>8737.5657599999977</v>
      </c>
      <c r="X106" s="171">
        <f>SUM(T106:W106)</f>
        <v>11795.713775999997</v>
      </c>
    </row>
    <row r="107" spans="2:24" ht="14" customHeight="1" x14ac:dyDescent="0.3">
      <c r="B107" s="8" t="s">
        <v>31</v>
      </c>
      <c r="C107" s="195">
        <f>Assumptions!$F$92</f>
        <v>594</v>
      </c>
      <c r="D107" s="195">
        <f>Assumptions!$F$92</f>
        <v>594</v>
      </c>
      <c r="E107" s="195">
        <f>Assumptions!$F$92</f>
        <v>594</v>
      </c>
      <c r="F107" s="195">
        <f>Assumptions!$F$92</f>
        <v>594</v>
      </c>
      <c r="G107" s="195">
        <f>Assumptions!$F$92</f>
        <v>594</v>
      </c>
      <c r="H107" s="195">
        <f>Assumptions!$F$92</f>
        <v>594</v>
      </c>
      <c r="I107" s="195">
        <f>Assumptions!$F$92</f>
        <v>594</v>
      </c>
      <c r="J107" s="195">
        <f>Assumptions!$F$92</f>
        <v>594</v>
      </c>
      <c r="K107" s="195">
        <f>Assumptions!$F$92</f>
        <v>594</v>
      </c>
      <c r="L107" s="195">
        <f>Assumptions!$F$92</f>
        <v>594</v>
      </c>
      <c r="M107" s="195">
        <f>Assumptions!$F$92</f>
        <v>594</v>
      </c>
      <c r="N107" s="195">
        <f>Assumptions!$F$92</f>
        <v>594</v>
      </c>
      <c r="O107" s="195"/>
      <c r="Q107" s="97"/>
      <c r="R107" s="8" t="s">
        <v>31</v>
      </c>
      <c r="T107" s="195">
        <f>Assumptions!F92</f>
        <v>594</v>
      </c>
      <c r="U107" s="195">
        <f>Assumptions!G92</f>
        <v>534.6</v>
      </c>
      <c r="V107" s="195">
        <f>Assumptions!H92</f>
        <v>427.68000000000006</v>
      </c>
      <c r="W107" s="195">
        <f>Assumptions!I92</f>
        <v>342.14400000000006</v>
      </c>
      <c r="X107" s="195"/>
    </row>
    <row r="108" spans="2:24" ht="14" customHeight="1" x14ac:dyDescent="0.3">
      <c r="B108" s="8" t="s">
        <v>135</v>
      </c>
      <c r="C108" s="175">
        <f t="shared" ref="C108:N108" si="41">C106*C107</f>
        <v>0</v>
      </c>
      <c r="D108" s="175">
        <f t="shared" si="41"/>
        <v>0</v>
      </c>
      <c r="E108" s="175">
        <f t="shared" si="41"/>
        <v>0</v>
      </c>
      <c r="F108" s="175">
        <f t="shared" si="41"/>
        <v>0</v>
      </c>
      <c r="G108" s="175">
        <f t="shared" si="41"/>
        <v>0</v>
      </c>
      <c r="H108" s="175">
        <f t="shared" si="41"/>
        <v>0</v>
      </c>
      <c r="I108" s="175">
        <f t="shared" si="41"/>
        <v>0</v>
      </c>
      <c r="J108" s="175">
        <f t="shared" si="41"/>
        <v>0</v>
      </c>
      <c r="K108" s="175">
        <f t="shared" si="41"/>
        <v>0</v>
      </c>
      <c r="L108" s="175">
        <f t="shared" si="41"/>
        <v>0</v>
      </c>
      <c r="M108" s="175">
        <f t="shared" si="41"/>
        <v>0</v>
      </c>
      <c r="N108" s="175">
        <f t="shared" si="41"/>
        <v>0</v>
      </c>
      <c r="O108" s="175">
        <f>SUM(C108:N108)</f>
        <v>0</v>
      </c>
      <c r="Q108" s="97"/>
      <c r="R108" s="8" t="s">
        <v>135</v>
      </c>
      <c r="T108" s="175">
        <f>T106*T107</f>
        <v>0</v>
      </c>
      <c r="U108" s="175">
        <f>U106*U107</f>
        <v>233555.13276479996</v>
      </c>
      <c r="V108" s="175">
        <f>V106*V107</f>
        <v>1121064.6372710399</v>
      </c>
      <c r="W108" s="175">
        <f>W106*W107</f>
        <v>2989505.6993894395</v>
      </c>
      <c r="X108" s="175">
        <f>SUM(T108:W108)</f>
        <v>4344125.4694252796</v>
      </c>
    </row>
    <row r="109" spans="2:24" ht="14" customHeight="1" x14ac:dyDescent="0.3">
      <c r="B109" s="10" t="s">
        <v>124</v>
      </c>
      <c r="C109" s="106">
        <f>Assumptions!$F$90*Income!C112</f>
        <v>0</v>
      </c>
      <c r="D109" s="106">
        <f>Assumptions!$F$90*Income!D112</f>
        <v>0</v>
      </c>
      <c r="E109" s="106">
        <f>Assumptions!$F$90*Income!E112</f>
        <v>0</v>
      </c>
      <c r="F109" s="106">
        <f>Assumptions!$F$90*Income!F112</f>
        <v>0</v>
      </c>
      <c r="G109" s="106">
        <f>Assumptions!$F$90*Income!G112</f>
        <v>0</v>
      </c>
      <c r="H109" s="106">
        <f>Assumptions!$F$90*Income!H112</f>
        <v>0</v>
      </c>
      <c r="I109" s="106">
        <f>Assumptions!$F$90*Income!I112</f>
        <v>0</v>
      </c>
      <c r="J109" s="106">
        <f>Assumptions!$F$90*Income!J112</f>
        <v>0</v>
      </c>
      <c r="K109" s="106">
        <f>Assumptions!$F$90*Income!K112</f>
        <v>0</v>
      </c>
      <c r="L109" s="106">
        <f>Assumptions!$F$90*Income!L112</f>
        <v>0</v>
      </c>
      <c r="M109" s="106">
        <f>Assumptions!$F$90*Income!M112</f>
        <v>0</v>
      </c>
      <c r="N109" s="106">
        <f>Assumptions!$F$90*Income!N112</f>
        <v>0</v>
      </c>
      <c r="O109" s="106">
        <f>SUM(C109:N109)</f>
        <v>0</v>
      </c>
      <c r="P109" s="8"/>
      <c r="Q109" s="98"/>
      <c r="R109" s="10" t="s">
        <v>124</v>
      </c>
      <c r="T109" s="171">
        <f>O109</f>
        <v>0</v>
      </c>
      <c r="U109" s="202">
        <f>Assumptions!G90*Income!U112</f>
        <v>291.25219199999992</v>
      </c>
      <c r="V109" s="202">
        <f>Assumptions!H90*Income!V112</f>
        <v>1747.5131519999995</v>
      </c>
      <c r="W109" s="202">
        <f>Assumptions!I90*Income!W112</f>
        <v>5825.0438399999985</v>
      </c>
      <c r="X109" s="202">
        <f>SUM(T109:W109)</f>
        <v>7863.8091839999979</v>
      </c>
    </row>
    <row r="110" spans="2:24" ht="14" customHeight="1" x14ac:dyDescent="0.3">
      <c r="B110" s="8" t="s">
        <v>31</v>
      </c>
      <c r="C110" s="175">
        <f>Assumptions!$F$93</f>
        <v>495</v>
      </c>
      <c r="D110" s="175">
        <f>Assumptions!$F$93</f>
        <v>495</v>
      </c>
      <c r="E110" s="175">
        <f>Assumptions!$F$93</f>
        <v>495</v>
      </c>
      <c r="F110" s="175">
        <f>Assumptions!$F$93</f>
        <v>495</v>
      </c>
      <c r="G110" s="175">
        <f>Assumptions!$F$93</f>
        <v>495</v>
      </c>
      <c r="H110" s="175">
        <f>Assumptions!$F$93</f>
        <v>495</v>
      </c>
      <c r="I110" s="175">
        <f>Assumptions!$F$93</f>
        <v>495</v>
      </c>
      <c r="J110" s="175">
        <f>Assumptions!$F$93</f>
        <v>495</v>
      </c>
      <c r="K110" s="175">
        <f>Assumptions!$F$93</f>
        <v>495</v>
      </c>
      <c r="L110" s="175">
        <f>Assumptions!$F$93</f>
        <v>495</v>
      </c>
      <c r="M110" s="175">
        <f>Assumptions!$F$93</f>
        <v>495</v>
      </c>
      <c r="N110" s="175">
        <f>Assumptions!$F$93</f>
        <v>495</v>
      </c>
      <c r="O110" s="175"/>
      <c r="P110" s="8"/>
      <c r="Q110" s="98"/>
      <c r="R110" s="8" t="s">
        <v>31</v>
      </c>
      <c r="T110" s="175">
        <f>Assumptions!F93</f>
        <v>495</v>
      </c>
      <c r="U110" s="175">
        <f>Assumptions!G93</f>
        <v>445.5</v>
      </c>
      <c r="V110" s="175">
        <f>Assumptions!H93</f>
        <v>356.40000000000003</v>
      </c>
      <c r="W110" s="175">
        <f>Assumptions!I93</f>
        <v>285.12000000000006</v>
      </c>
      <c r="X110" s="175"/>
    </row>
    <row r="111" spans="2:24" ht="14" customHeight="1" x14ac:dyDescent="0.3">
      <c r="B111" s="8" t="s">
        <v>136</v>
      </c>
      <c r="C111" s="195">
        <f t="shared" ref="C111:N111" si="42">C109*C110</f>
        <v>0</v>
      </c>
      <c r="D111" s="195">
        <f t="shared" si="42"/>
        <v>0</v>
      </c>
      <c r="E111" s="195">
        <f t="shared" si="42"/>
        <v>0</v>
      </c>
      <c r="F111" s="195">
        <f t="shared" si="42"/>
        <v>0</v>
      </c>
      <c r="G111" s="195">
        <f t="shared" si="42"/>
        <v>0</v>
      </c>
      <c r="H111" s="195">
        <f t="shared" si="42"/>
        <v>0</v>
      </c>
      <c r="I111" s="195">
        <f t="shared" si="42"/>
        <v>0</v>
      </c>
      <c r="J111" s="195">
        <f t="shared" si="42"/>
        <v>0</v>
      </c>
      <c r="K111" s="195">
        <f t="shared" si="42"/>
        <v>0</v>
      </c>
      <c r="L111" s="195">
        <f t="shared" si="42"/>
        <v>0</v>
      </c>
      <c r="M111" s="195">
        <f t="shared" si="42"/>
        <v>0</v>
      </c>
      <c r="N111" s="195">
        <f t="shared" si="42"/>
        <v>0</v>
      </c>
      <c r="O111" s="195">
        <f>SUM(C111:N111)</f>
        <v>0</v>
      </c>
      <c r="P111" s="8"/>
      <c r="Q111" s="98"/>
      <c r="R111" s="8" t="s">
        <v>136</v>
      </c>
      <c r="T111" s="195">
        <f>T109*T110</f>
        <v>0</v>
      </c>
      <c r="U111" s="195">
        <f>U109*U110</f>
        <v>129752.85153599997</v>
      </c>
      <c r="V111" s="195">
        <f>V109*V110</f>
        <v>622813.68737279985</v>
      </c>
      <c r="W111" s="195">
        <f>W109*W110</f>
        <v>1660836.4996608</v>
      </c>
      <c r="X111" s="195">
        <f>SUM(T111:W111)</f>
        <v>2413403.0385695999</v>
      </c>
    </row>
    <row r="112" spans="2:24" ht="14" customHeight="1" x14ac:dyDescent="0.3">
      <c r="B112" s="10" t="s">
        <v>152</v>
      </c>
      <c r="C112" s="16">
        <f>'Forecast Sold Cars'!C116</f>
        <v>0</v>
      </c>
      <c r="D112" s="16">
        <f>'Forecast Sold Cars'!D116</f>
        <v>0</v>
      </c>
      <c r="E112" s="16">
        <f>'Forecast Sold Cars'!E116</f>
        <v>0</v>
      </c>
      <c r="F112" s="16">
        <f>'Forecast Sold Cars'!F116</f>
        <v>0</v>
      </c>
      <c r="G112" s="16">
        <f>'Forecast Sold Cars'!G116</f>
        <v>0</v>
      </c>
      <c r="H112" s="16">
        <f>'Forecast Sold Cars'!H116</f>
        <v>0</v>
      </c>
      <c r="I112" s="16">
        <f>'Forecast Sold Cars'!I116</f>
        <v>0</v>
      </c>
      <c r="J112" s="16">
        <f>'Forecast Sold Cars'!J116</f>
        <v>0</v>
      </c>
      <c r="K112" s="16">
        <f>'Forecast Sold Cars'!K116</f>
        <v>0</v>
      </c>
      <c r="L112" s="16">
        <f>'Forecast Sold Cars'!L116</f>
        <v>0</v>
      </c>
      <c r="M112" s="16">
        <f>'Forecast Sold Cars'!M116</f>
        <v>0</v>
      </c>
      <c r="N112" s="16">
        <f>'Forecast Sold Cars'!N116</f>
        <v>0</v>
      </c>
      <c r="O112" s="103">
        <f>SUM(C112:N112)</f>
        <v>0</v>
      </c>
      <c r="P112" s="15"/>
      <c r="Q112" s="99"/>
      <c r="R112" s="10" t="s">
        <v>152</v>
      </c>
      <c r="T112" s="16">
        <f>O112</f>
        <v>0</v>
      </c>
      <c r="U112" s="16">
        <f>'Forecast Sold Cars'!E125</f>
        <v>728.13047999999981</v>
      </c>
      <c r="V112" s="16">
        <f>'Forecast Sold Cars'!F125</f>
        <v>4368.7828799999988</v>
      </c>
      <c r="W112" s="16">
        <f>'Forecast Sold Cars'!G125</f>
        <v>14562.609599999996</v>
      </c>
      <c r="X112" s="16">
        <f>SUM(T112:W112)</f>
        <v>19659.522959999995</v>
      </c>
    </row>
    <row r="113" spans="2:24" ht="14" customHeight="1" x14ac:dyDescent="0.3">
      <c r="B113" s="10" t="s">
        <v>28</v>
      </c>
      <c r="C113" s="196">
        <f>SUM(C108,C111)</f>
        <v>0</v>
      </c>
      <c r="D113" s="196">
        <f t="shared" ref="D113:N113" si="43">SUM(D108,D111)</f>
        <v>0</v>
      </c>
      <c r="E113" s="196">
        <f t="shared" si="43"/>
        <v>0</v>
      </c>
      <c r="F113" s="196">
        <f t="shared" si="43"/>
        <v>0</v>
      </c>
      <c r="G113" s="196">
        <f t="shared" si="43"/>
        <v>0</v>
      </c>
      <c r="H113" s="196">
        <f t="shared" si="43"/>
        <v>0</v>
      </c>
      <c r="I113" s="196">
        <f t="shared" si="43"/>
        <v>0</v>
      </c>
      <c r="J113" s="196">
        <f t="shared" si="43"/>
        <v>0</v>
      </c>
      <c r="K113" s="196">
        <f t="shared" si="43"/>
        <v>0</v>
      </c>
      <c r="L113" s="196">
        <f t="shared" si="43"/>
        <v>0</v>
      </c>
      <c r="M113" s="196">
        <f t="shared" si="43"/>
        <v>0</v>
      </c>
      <c r="N113" s="196">
        <f t="shared" si="43"/>
        <v>0</v>
      </c>
      <c r="O113" s="197">
        <f>SUM(C113:N113)</f>
        <v>0</v>
      </c>
      <c r="Q113" s="97"/>
      <c r="R113" s="10" t="s">
        <v>28</v>
      </c>
      <c r="T113" s="196">
        <f>SUM(T108,T111)</f>
        <v>0</v>
      </c>
      <c r="U113" s="196">
        <f>SUM(U108,U111)</f>
        <v>363307.9843007999</v>
      </c>
      <c r="V113" s="196">
        <f>SUM(V108,V111)</f>
        <v>1743878.3246438396</v>
      </c>
      <c r="W113" s="196">
        <f>SUM(W108,W111)</f>
        <v>4650342.1990502393</v>
      </c>
      <c r="X113" s="197">
        <f>SUM(T113:W113)</f>
        <v>6757528.507994879</v>
      </c>
    </row>
    <row r="114" spans="2:24" ht="14" customHeight="1" x14ac:dyDescent="0.3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Q114" s="97"/>
      <c r="S114" s="43"/>
      <c r="T114" s="43"/>
      <c r="U114" s="43"/>
      <c r="V114" s="43"/>
      <c r="W114" s="101"/>
    </row>
    <row r="115" spans="2:24" ht="14" customHeight="1" x14ac:dyDescent="0.3">
      <c r="B115" s="7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Q115" s="97"/>
      <c r="R115" s="7"/>
      <c r="S115" s="44"/>
      <c r="T115" s="44"/>
      <c r="U115" s="44"/>
      <c r="V115" s="44"/>
      <c r="W115" s="102"/>
    </row>
    <row r="116" spans="2:24" ht="14" customHeight="1" x14ac:dyDescent="0.3">
      <c r="B116" s="7" t="s">
        <v>138</v>
      </c>
      <c r="Q116" s="97"/>
      <c r="R116" s="7" t="s">
        <v>30</v>
      </c>
      <c r="W116" s="1"/>
    </row>
    <row r="117" spans="2:24" ht="14" customHeight="1" x14ac:dyDescent="0.3">
      <c r="B117" s="17"/>
      <c r="C117" s="105" t="s">
        <v>139</v>
      </c>
      <c r="D117" s="105" t="s">
        <v>140</v>
      </c>
      <c r="E117" s="105" t="s">
        <v>141</v>
      </c>
      <c r="F117" s="105" t="s">
        <v>142</v>
      </c>
      <c r="G117" s="105" t="s">
        <v>143</v>
      </c>
      <c r="H117" s="105" t="s">
        <v>144</v>
      </c>
      <c r="I117" s="105" t="s">
        <v>145</v>
      </c>
      <c r="J117" s="105" t="s">
        <v>146</v>
      </c>
      <c r="K117" s="105" t="s">
        <v>147</v>
      </c>
      <c r="L117" s="105" t="s">
        <v>148</v>
      </c>
      <c r="M117" s="105" t="s">
        <v>149</v>
      </c>
      <c r="N117" s="105" t="s">
        <v>150</v>
      </c>
      <c r="O117" s="105" t="s">
        <v>16</v>
      </c>
      <c r="P117" s="5"/>
      <c r="Q117" s="100"/>
      <c r="R117" s="17"/>
      <c r="T117" s="105">
        <v>2020</v>
      </c>
      <c r="U117" s="105">
        <v>2021</v>
      </c>
      <c r="V117" s="105">
        <v>2022</v>
      </c>
      <c r="W117" s="105">
        <v>2023</v>
      </c>
      <c r="X117" s="105" t="s">
        <v>16</v>
      </c>
    </row>
    <row r="118" spans="2:24" ht="14" customHeight="1" x14ac:dyDescent="0.3">
      <c r="B118" s="8" t="s">
        <v>27</v>
      </c>
      <c r="C118" s="45">
        <f>C112</f>
        <v>0</v>
      </c>
      <c r="D118" s="45">
        <f t="shared" ref="D118:N118" si="44">D112</f>
        <v>0</v>
      </c>
      <c r="E118" s="45">
        <f t="shared" si="44"/>
        <v>0</v>
      </c>
      <c r="F118" s="45">
        <f t="shared" si="44"/>
        <v>0</v>
      </c>
      <c r="G118" s="45">
        <f t="shared" si="44"/>
        <v>0</v>
      </c>
      <c r="H118" s="45">
        <f t="shared" si="44"/>
        <v>0</v>
      </c>
      <c r="I118" s="45">
        <f t="shared" si="44"/>
        <v>0</v>
      </c>
      <c r="J118" s="45">
        <f t="shared" si="44"/>
        <v>0</v>
      </c>
      <c r="K118" s="45">
        <f t="shared" si="44"/>
        <v>0</v>
      </c>
      <c r="L118" s="45">
        <f t="shared" si="44"/>
        <v>0</v>
      </c>
      <c r="M118" s="45">
        <f t="shared" si="44"/>
        <v>0</v>
      </c>
      <c r="N118" s="45">
        <f t="shared" si="44"/>
        <v>0</v>
      </c>
      <c r="O118" s="18">
        <f>SUM(C118:N118)</f>
        <v>0</v>
      </c>
      <c r="P118" s="5"/>
      <c r="Q118" s="100"/>
      <c r="R118" s="8" t="s">
        <v>27</v>
      </c>
      <c r="T118" s="45">
        <f>T112</f>
        <v>0</v>
      </c>
      <c r="U118" s="45">
        <f>U112</f>
        <v>728.13047999999981</v>
      </c>
      <c r="V118" s="45">
        <f>V112</f>
        <v>4368.7828799999988</v>
      </c>
      <c r="W118" s="45">
        <f>W112</f>
        <v>14562.609599999996</v>
      </c>
      <c r="X118" s="45">
        <f>SUM(T118:W118)</f>
        <v>19659.522959999995</v>
      </c>
    </row>
    <row r="119" spans="2:24" ht="14" customHeight="1" x14ac:dyDescent="0.3">
      <c r="B119" s="8" t="s">
        <v>33</v>
      </c>
      <c r="C119" s="198">
        <f>Assumptions!$F$94</f>
        <v>720</v>
      </c>
      <c r="D119" s="198">
        <f>Assumptions!$F$94</f>
        <v>720</v>
      </c>
      <c r="E119" s="198">
        <f>Assumptions!$F$94</f>
        <v>720</v>
      </c>
      <c r="F119" s="198">
        <f>Assumptions!$F$94</f>
        <v>720</v>
      </c>
      <c r="G119" s="198">
        <f>Assumptions!$F$94</f>
        <v>720</v>
      </c>
      <c r="H119" s="198">
        <f>Assumptions!$F$94</f>
        <v>720</v>
      </c>
      <c r="I119" s="198">
        <f>Assumptions!$F$94</f>
        <v>720</v>
      </c>
      <c r="J119" s="198">
        <f>Assumptions!$F$94</f>
        <v>720</v>
      </c>
      <c r="K119" s="198">
        <f>Assumptions!$F$94</f>
        <v>720</v>
      </c>
      <c r="L119" s="198">
        <f>Assumptions!$F$94</f>
        <v>720</v>
      </c>
      <c r="M119" s="198">
        <f>Assumptions!$F$94</f>
        <v>720</v>
      </c>
      <c r="N119" s="198">
        <f>Assumptions!$F$94</f>
        <v>720</v>
      </c>
      <c r="O119" s="199"/>
      <c r="P119" s="5"/>
      <c r="Q119" s="100"/>
      <c r="R119" s="8" t="s">
        <v>33</v>
      </c>
      <c r="T119" s="198">
        <f>Assumptions!F94</f>
        <v>720</v>
      </c>
      <c r="U119" s="198">
        <f>Assumptions!G94</f>
        <v>648</v>
      </c>
      <c r="V119" s="198">
        <f>Assumptions!H94</f>
        <v>518.4</v>
      </c>
      <c r="W119" s="198">
        <f>Assumptions!I94</f>
        <v>414.72</v>
      </c>
      <c r="X119" s="198"/>
    </row>
    <row r="120" spans="2:24" ht="14" customHeight="1" x14ac:dyDescent="0.3">
      <c r="B120" s="10" t="s">
        <v>28</v>
      </c>
      <c r="C120" s="200">
        <f t="shared" ref="C120:N120" si="45">C119*C118</f>
        <v>0</v>
      </c>
      <c r="D120" s="200">
        <f t="shared" si="45"/>
        <v>0</v>
      </c>
      <c r="E120" s="200">
        <f t="shared" si="45"/>
        <v>0</v>
      </c>
      <c r="F120" s="200">
        <f t="shared" si="45"/>
        <v>0</v>
      </c>
      <c r="G120" s="200">
        <f t="shared" si="45"/>
        <v>0</v>
      </c>
      <c r="H120" s="200">
        <f t="shared" si="45"/>
        <v>0</v>
      </c>
      <c r="I120" s="200">
        <f t="shared" si="45"/>
        <v>0</v>
      </c>
      <c r="J120" s="200">
        <f t="shared" si="45"/>
        <v>0</v>
      </c>
      <c r="K120" s="200">
        <f t="shared" si="45"/>
        <v>0</v>
      </c>
      <c r="L120" s="200">
        <f t="shared" si="45"/>
        <v>0</v>
      </c>
      <c r="M120" s="200">
        <f t="shared" si="45"/>
        <v>0</v>
      </c>
      <c r="N120" s="200">
        <f t="shared" si="45"/>
        <v>0</v>
      </c>
      <c r="O120" s="201">
        <f>SUM(C120:N120)</f>
        <v>0</v>
      </c>
      <c r="P120" s="5"/>
      <c r="Q120" s="100"/>
      <c r="R120" s="10" t="s">
        <v>28</v>
      </c>
      <c r="T120" s="200">
        <f>T119*T118</f>
        <v>0</v>
      </c>
      <c r="U120" s="200">
        <f>U119*U118</f>
        <v>471828.55103999987</v>
      </c>
      <c r="V120" s="200">
        <f>V119*V118</f>
        <v>2264777.0449919994</v>
      </c>
      <c r="W120" s="200">
        <f>W119*W118</f>
        <v>6039405.4533119984</v>
      </c>
      <c r="X120" s="201">
        <f>SUM(T120:W120)</f>
        <v>8776011.0493439976</v>
      </c>
    </row>
    <row r="123" spans="2:24" ht="14" customHeight="1" x14ac:dyDescent="0.3">
      <c r="B123" s="10" t="s">
        <v>253</v>
      </c>
      <c r="C123" s="307"/>
      <c r="D123" s="307"/>
      <c r="E123" s="307"/>
      <c r="F123" s="307"/>
      <c r="G123" s="307"/>
      <c r="H123" s="307"/>
      <c r="I123" s="307"/>
      <c r="J123" s="307"/>
      <c r="K123" s="307"/>
      <c r="L123" s="307"/>
      <c r="M123" s="307"/>
      <c r="N123" s="307"/>
      <c r="O123" s="309"/>
      <c r="P123" s="5"/>
      <c r="Q123" s="308"/>
      <c r="R123" s="10" t="s">
        <v>252</v>
      </c>
      <c r="S123" s="307"/>
      <c r="T123" s="307"/>
      <c r="U123" s="307"/>
      <c r="V123" s="307"/>
      <c r="W123" s="307"/>
      <c r="X123" s="309"/>
    </row>
    <row r="124" spans="2:24" ht="14" customHeight="1" x14ac:dyDescent="0.3">
      <c r="B124" s="17"/>
      <c r="C124" s="397" t="s">
        <v>139</v>
      </c>
      <c r="D124" s="397" t="s">
        <v>140</v>
      </c>
      <c r="E124" s="397" t="s">
        <v>141</v>
      </c>
      <c r="F124" s="397" t="s">
        <v>142</v>
      </c>
      <c r="G124" s="397" t="s">
        <v>143</v>
      </c>
      <c r="H124" s="397" t="s">
        <v>144</v>
      </c>
      <c r="I124" s="397" t="s">
        <v>145</v>
      </c>
      <c r="J124" s="397" t="s">
        <v>146</v>
      </c>
      <c r="K124" s="397" t="s">
        <v>147</v>
      </c>
      <c r="L124" s="397" t="s">
        <v>148</v>
      </c>
      <c r="M124" s="397" t="s">
        <v>149</v>
      </c>
      <c r="N124" s="397" t="s">
        <v>150</v>
      </c>
      <c r="O124" s="397" t="s">
        <v>16</v>
      </c>
      <c r="P124" s="5"/>
      <c r="Q124" s="308"/>
      <c r="R124" s="17"/>
      <c r="S124" s="397">
        <v>2019</v>
      </c>
      <c r="T124" s="397">
        <v>2020</v>
      </c>
      <c r="U124" s="397">
        <v>2021</v>
      </c>
      <c r="V124" s="397">
        <v>2022</v>
      </c>
      <c r="W124" s="397">
        <v>2023</v>
      </c>
      <c r="X124" s="397" t="s">
        <v>16</v>
      </c>
    </row>
    <row r="125" spans="2:24" ht="14" customHeight="1" x14ac:dyDescent="0.3">
      <c r="B125" s="5" t="s">
        <v>249</v>
      </c>
      <c r="C125" s="45">
        <f>'Forecast Users'!C50</f>
        <v>90.12027359999999</v>
      </c>
      <c r="D125" s="45">
        <f>'Forecast Users'!D50</f>
        <v>171.22851983999999</v>
      </c>
      <c r="E125" s="45">
        <f>'Forecast Users'!E50</f>
        <v>244.22594145600002</v>
      </c>
      <c r="F125" s="45">
        <f>'Forecast Users'!F50</f>
        <v>309.92362091040002</v>
      </c>
      <c r="G125" s="45">
        <f>'Forecast Users'!G50</f>
        <v>369.05153241936006</v>
      </c>
      <c r="H125" s="45">
        <f>'Forecast Users'!H50</f>
        <v>422.26665277742404</v>
      </c>
      <c r="I125" s="45">
        <f>'Forecast Users'!I50</f>
        <v>470.16026109968163</v>
      </c>
      <c r="J125" s="45">
        <f>'Forecast Users'!J50</f>
        <v>513.2645085897135</v>
      </c>
      <c r="K125" s="45">
        <f>'Forecast Users'!K50</f>
        <v>552.05833133074213</v>
      </c>
      <c r="L125" s="45">
        <f>'Forecast Users'!L50</f>
        <v>590.55691739766792</v>
      </c>
      <c r="M125" s="45">
        <f>'Forecast Users'!M50</f>
        <v>625.20564485790112</v>
      </c>
      <c r="N125" s="45">
        <f>'Forecast Users'!N50</f>
        <v>656.38949957211094</v>
      </c>
      <c r="O125" s="18">
        <f>N125</f>
        <v>656.38949957211094</v>
      </c>
      <c r="P125" s="5"/>
      <c r="Q125" s="308"/>
      <c r="R125" s="5" t="s">
        <v>251</v>
      </c>
      <c r="S125" s="357"/>
      <c r="T125" s="357">
        <v>0</v>
      </c>
      <c r="U125" s="357">
        <f>'Forecast Users'!E58</f>
        <v>656.38949957211094</v>
      </c>
      <c r="V125" s="357">
        <f>'Forecast Users'!F58</f>
        <v>9328.3163096148983</v>
      </c>
      <c r="W125" s="357">
        <f>'Forecast Users'!G58</f>
        <v>66645.923078653388</v>
      </c>
      <c r="X125" s="263">
        <f>W125</f>
        <v>66645.923078653388</v>
      </c>
    </row>
    <row r="126" spans="2:24" ht="14" customHeight="1" x14ac:dyDescent="0.3">
      <c r="B126" s="5" t="s">
        <v>250</v>
      </c>
      <c r="C126" s="398">
        <f>'Forecast Users'!C51</f>
        <v>0</v>
      </c>
      <c r="D126" s="398">
        <f>'Forecast Users'!D51</f>
        <v>0</v>
      </c>
      <c r="E126" s="398">
        <f>'Forecast Users'!E51</f>
        <v>0</v>
      </c>
      <c r="F126" s="398">
        <f>'Forecast Users'!F51</f>
        <v>0</v>
      </c>
      <c r="G126" s="398">
        <f>'Forecast Users'!G51</f>
        <v>0</v>
      </c>
      <c r="H126" s="398">
        <f>'Forecast Users'!H51</f>
        <v>0</v>
      </c>
      <c r="I126" s="398">
        <f>'Forecast Users'!I51</f>
        <v>0</v>
      </c>
      <c r="J126" s="398">
        <f>'Forecast Users'!J51</f>
        <v>0</v>
      </c>
      <c r="K126" s="398">
        <f>'Forecast Users'!K51</f>
        <v>0</v>
      </c>
      <c r="L126" s="398">
        <f>'Forecast Users'!L51</f>
        <v>0</v>
      </c>
      <c r="M126" s="398">
        <f>'Forecast Users'!M51</f>
        <v>0</v>
      </c>
      <c r="N126" s="398">
        <f>'Forecast Users'!N51</f>
        <v>0</v>
      </c>
      <c r="O126" s="399">
        <f>SUM(C126:N126)</f>
        <v>0</v>
      </c>
      <c r="P126" s="5"/>
      <c r="Q126" s="308"/>
      <c r="R126" s="5" t="s">
        <v>250</v>
      </c>
      <c r="S126" s="402"/>
      <c r="T126" s="402">
        <v>0</v>
      </c>
      <c r="U126" s="398">
        <f>'Forecast Users'!E59</f>
        <v>0</v>
      </c>
      <c r="V126" s="398">
        <f>'Forecast Users'!F59</f>
        <v>74626.530476919186</v>
      </c>
      <c r="W126" s="398">
        <f>'Forecast Users'!G59</f>
        <v>599813.30770788051</v>
      </c>
      <c r="X126" s="403">
        <f>SUM(S126:W126)</f>
        <v>674439.83818479965</v>
      </c>
    </row>
    <row r="127" spans="2:24" ht="14" customHeight="1" x14ac:dyDescent="0.3">
      <c r="B127" s="5" t="s">
        <v>240</v>
      </c>
      <c r="C127" s="358">
        <f>Assumptions!G97</f>
        <v>10</v>
      </c>
      <c r="D127" s="358">
        <f>C127</f>
        <v>10</v>
      </c>
      <c r="E127" s="358">
        <f t="shared" ref="E127:N127" si="46">D127</f>
        <v>10</v>
      </c>
      <c r="F127" s="358">
        <f t="shared" si="46"/>
        <v>10</v>
      </c>
      <c r="G127" s="358">
        <f t="shared" si="46"/>
        <v>10</v>
      </c>
      <c r="H127" s="358">
        <f t="shared" si="46"/>
        <v>10</v>
      </c>
      <c r="I127" s="358">
        <f t="shared" si="46"/>
        <v>10</v>
      </c>
      <c r="J127" s="358">
        <f t="shared" si="46"/>
        <v>10</v>
      </c>
      <c r="K127" s="358">
        <f t="shared" si="46"/>
        <v>10</v>
      </c>
      <c r="L127" s="358">
        <f t="shared" si="46"/>
        <v>10</v>
      </c>
      <c r="M127" s="358">
        <f t="shared" si="46"/>
        <v>10</v>
      </c>
      <c r="N127" s="358">
        <f t="shared" si="46"/>
        <v>10</v>
      </c>
      <c r="O127" s="264"/>
      <c r="P127" s="5"/>
      <c r="Q127" s="308"/>
      <c r="R127" s="5" t="s">
        <v>240</v>
      </c>
      <c r="S127" s="358"/>
      <c r="T127" s="358">
        <v>0</v>
      </c>
      <c r="U127" s="358">
        <f>Assumptions!G97</f>
        <v>10</v>
      </c>
      <c r="V127" s="358">
        <f>Assumptions!H97</f>
        <v>10</v>
      </c>
      <c r="W127" s="358">
        <f>Assumptions!I97</f>
        <v>10</v>
      </c>
      <c r="X127" s="264"/>
    </row>
    <row r="128" spans="2:24" ht="14" customHeight="1" x14ac:dyDescent="0.3">
      <c r="B128" s="10" t="s">
        <v>28</v>
      </c>
      <c r="C128" s="400">
        <f>C127*C126</f>
        <v>0</v>
      </c>
      <c r="D128" s="400">
        <f t="shared" ref="D128:N128" si="47">D127*D126</f>
        <v>0</v>
      </c>
      <c r="E128" s="400">
        <f t="shared" si="47"/>
        <v>0</v>
      </c>
      <c r="F128" s="400">
        <f t="shared" si="47"/>
        <v>0</v>
      </c>
      <c r="G128" s="400">
        <f t="shared" si="47"/>
        <v>0</v>
      </c>
      <c r="H128" s="400">
        <f t="shared" si="47"/>
        <v>0</v>
      </c>
      <c r="I128" s="400">
        <f t="shared" si="47"/>
        <v>0</v>
      </c>
      <c r="J128" s="400">
        <f t="shared" si="47"/>
        <v>0</v>
      </c>
      <c r="K128" s="400">
        <f t="shared" si="47"/>
        <v>0</v>
      </c>
      <c r="L128" s="400">
        <f t="shared" si="47"/>
        <v>0</v>
      </c>
      <c r="M128" s="400">
        <f t="shared" si="47"/>
        <v>0</v>
      </c>
      <c r="N128" s="400">
        <f t="shared" si="47"/>
        <v>0</v>
      </c>
      <c r="O128" s="401">
        <f>SUM(C128:N128)</f>
        <v>0</v>
      </c>
      <c r="R128" s="10" t="s">
        <v>28</v>
      </c>
      <c r="S128" s="400"/>
      <c r="T128" s="402">
        <v>0</v>
      </c>
      <c r="U128" s="400">
        <f t="shared" ref="U128" si="48">U127*U126</f>
        <v>0</v>
      </c>
      <c r="V128" s="400">
        <f t="shared" ref="V128" si="49">V127*V126</f>
        <v>746265.30476919189</v>
      </c>
      <c r="W128" s="400">
        <f t="shared" ref="W128" si="50">W127*W126</f>
        <v>5998133.0770788053</v>
      </c>
      <c r="X128" s="401">
        <f>SUM(S128:W128)</f>
        <v>6744398.3818479972</v>
      </c>
    </row>
    <row r="135" spans="2:26" ht="20" customHeight="1" x14ac:dyDescent="0.3">
      <c r="B135" s="38" t="s">
        <v>23</v>
      </c>
      <c r="C135" s="7"/>
    </row>
    <row r="137" spans="2:26" ht="14" customHeight="1" x14ac:dyDescent="0.3">
      <c r="B137" s="7" t="s">
        <v>137</v>
      </c>
      <c r="M137" s="1"/>
      <c r="N137" s="1"/>
      <c r="O137" s="1"/>
      <c r="P137" s="6"/>
      <c r="Q137" s="94"/>
      <c r="R137" s="7" t="s">
        <v>34</v>
      </c>
    </row>
    <row r="138" spans="2:26" ht="14" customHeight="1" x14ac:dyDescent="0.3">
      <c r="C138" s="108" t="s">
        <v>139</v>
      </c>
      <c r="D138" s="108" t="s">
        <v>140</v>
      </c>
      <c r="E138" s="108" t="s">
        <v>141</v>
      </c>
      <c r="F138" s="108" t="s">
        <v>142</v>
      </c>
      <c r="G138" s="108" t="s">
        <v>143</v>
      </c>
      <c r="H138" s="108" t="s">
        <v>144</v>
      </c>
      <c r="I138" s="108" t="s">
        <v>145</v>
      </c>
      <c r="J138" s="108" t="s">
        <v>146</v>
      </c>
      <c r="K138" s="108" t="s">
        <v>147</v>
      </c>
      <c r="L138" s="108" t="s">
        <v>148</v>
      </c>
      <c r="M138" s="108" t="s">
        <v>149</v>
      </c>
      <c r="N138" s="108" t="s">
        <v>150</v>
      </c>
      <c r="O138" s="108" t="s">
        <v>16</v>
      </c>
      <c r="P138" s="6"/>
      <c r="Q138" s="94"/>
      <c r="R138" s="20" t="s">
        <v>34</v>
      </c>
      <c r="T138" s="108">
        <v>2020</v>
      </c>
      <c r="U138" s="108">
        <v>2021</v>
      </c>
      <c r="V138" s="108">
        <v>2022</v>
      </c>
      <c r="W138" s="108">
        <v>2023</v>
      </c>
      <c r="X138" s="108" t="s">
        <v>16</v>
      </c>
      <c r="Z138" s="8"/>
    </row>
    <row r="139" spans="2:26" ht="14" customHeight="1" x14ac:dyDescent="0.3">
      <c r="B139" s="8" t="s">
        <v>26</v>
      </c>
      <c r="C139" s="175">
        <f>C156</f>
        <v>0</v>
      </c>
      <c r="D139" s="175">
        <f t="shared" ref="D139:N139" si="51">D156</f>
        <v>0</v>
      </c>
      <c r="E139" s="175">
        <f t="shared" si="51"/>
        <v>0</v>
      </c>
      <c r="F139" s="175">
        <f t="shared" si="51"/>
        <v>0</v>
      </c>
      <c r="G139" s="175">
        <f t="shared" si="51"/>
        <v>0</v>
      </c>
      <c r="H139" s="175">
        <f t="shared" si="51"/>
        <v>0</v>
      </c>
      <c r="I139" s="175">
        <f t="shared" si="51"/>
        <v>0</v>
      </c>
      <c r="J139" s="175">
        <f t="shared" si="51"/>
        <v>0</v>
      </c>
      <c r="K139" s="175">
        <f t="shared" si="51"/>
        <v>0</v>
      </c>
      <c r="L139" s="175">
        <f t="shared" si="51"/>
        <v>0</v>
      </c>
      <c r="M139" s="175">
        <f t="shared" si="51"/>
        <v>0</v>
      </c>
      <c r="N139" s="175">
        <f t="shared" si="51"/>
        <v>0</v>
      </c>
      <c r="O139" s="181">
        <f>SUM(C139:N139)</f>
        <v>0</v>
      </c>
      <c r="P139" s="4"/>
      <c r="Q139" s="95"/>
      <c r="R139" s="8" t="s">
        <v>26</v>
      </c>
      <c r="T139" s="175">
        <f>O156</f>
        <v>0</v>
      </c>
      <c r="U139" s="175">
        <f>U156</f>
        <v>206551.69299071998</v>
      </c>
      <c r="V139" s="175">
        <f>V156</f>
        <v>991448.12635545596</v>
      </c>
      <c r="W139" s="175">
        <f>X156</f>
        <v>3841861.489627392</v>
      </c>
      <c r="X139" s="175">
        <f>X156</f>
        <v>3841861.489627392</v>
      </c>
      <c r="Z139" s="8"/>
    </row>
    <row r="140" spans="2:26" ht="14" customHeight="1" x14ac:dyDescent="0.3">
      <c r="B140" s="8" t="s">
        <v>27</v>
      </c>
      <c r="C140" s="203">
        <f>C163</f>
        <v>0</v>
      </c>
      <c r="D140" s="203">
        <f t="shared" ref="D140:N140" si="52">D163</f>
        <v>0</v>
      </c>
      <c r="E140" s="203">
        <f t="shared" si="52"/>
        <v>0</v>
      </c>
      <c r="F140" s="203">
        <f t="shared" si="52"/>
        <v>0</v>
      </c>
      <c r="G140" s="203">
        <f t="shared" si="52"/>
        <v>0</v>
      </c>
      <c r="H140" s="203">
        <f t="shared" si="52"/>
        <v>0</v>
      </c>
      <c r="I140" s="203">
        <f t="shared" si="52"/>
        <v>0</v>
      </c>
      <c r="J140" s="203">
        <f t="shared" si="52"/>
        <v>0</v>
      </c>
      <c r="K140" s="203">
        <f t="shared" si="52"/>
        <v>0</v>
      </c>
      <c r="L140" s="203">
        <f t="shared" si="52"/>
        <v>0</v>
      </c>
      <c r="M140" s="203">
        <f t="shared" si="52"/>
        <v>0</v>
      </c>
      <c r="N140" s="203">
        <f t="shared" si="52"/>
        <v>0</v>
      </c>
      <c r="O140" s="203">
        <f>SUM(C140:N140)</f>
        <v>0</v>
      </c>
      <c r="P140" s="6"/>
      <c r="Q140" s="96"/>
      <c r="R140" s="8" t="s">
        <v>27</v>
      </c>
      <c r="T140" s="203">
        <f>O163</f>
        <v>0</v>
      </c>
      <c r="U140" s="203">
        <f>U163</f>
        <v>268248.95193599997</v>
      </c>
      <c r="V140" s="203">
        <f>V163</f>
        <v>1287594.9692927997</v>
      </c>
      <c r="W140" s="203">
        <f>X163</f>
        <v>4989430.5060095992</v>
      </c>
      <c r="X140" s="203">
        <f>X163</f>
        <v>4989430.5060095992</v>
      </c>
      <c r="Z140" s="8"/>
    </row>
    <row r="141" spans="2:26" ht="14" customHeight="1" x14ac:dyDescent="0.3">
      <c r="B141" s="8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6"/>
      <c r="Q141" s="96"/>
      <c r="R141" s="8" t="s">
        <v>241</v>
      </c>
      <c r="T141" s="203"/>
      <c r="U141" s="203">
        <f>U171</f>
        <v>0</v>
      </c>
      <c r="V141" s="203">
        <f t="shared" ref="V141:W141" si="53">V171</f>
        <v>425619.16147002071</v>
      </c>
      <c r="W141" s="203">
        <f t="shared" si="53"/>
        <v>3411483.3113883957</v>
      </c>
      <c r="X141" s="203">
        <f>SUM(U141:W141)</f>
        <v>3837102.4728584164</v>
      </c>
      <c r="Z141" s="8"/>
    </row>
    <row r="142" spans="2:26" s="7" customFormat="1" ht="14" customHeight="1" x14ac:dyDescent="0.3">
      <c r="B142" s="10" t="s">
        <v>28</v>
      </c>
      <c r="C142" s="223">
        <f>SUM(C139:C140)</f>
        <v>0</v>
      </c>
      <c r="D142" s="223">
        <f t="shared" ref="D142:N142" si="54">SUM(D139:D140)</f>
        <v>0</v>
      </c>
      <c r="E142" s="223">
        <f t="shared" si="54"/>
        <v>0</v>
      </c>
      <c r="F142" s="223">
        <f t="shared" si="54"/>
        <v>0</v>
      </c>
      <c r="G142" s="223">
        <f t="shared" si="54"/>
        <v>0</v>
      </c>
      <c r="H142" s="223">
        <f t="shared" si="54"/>
        <v>0</v>
      </c>
      <c r="I142" s="223">
        <f t="shared" si="54"/>
        <v>0</v>
      </c>
      <c r="J142" s="223">
        <f t="shared" si="54"/>
        <v>0</v>
      </c>
      <c r="K142" s="223">
        <f t="shared" si="54"/>
        <v>0</v>
      </c>
      <c r="L142" s="223">
        <f t="shared" si="54"/>
        <v>0</v>
      </c>
      <c r="M142" s="223">
        <f t="shared" si="54"/>
        <v>0</v>
      </c>
      <c r="N142" s="223">
        <f t="shared" si="54"/>
        <v>0</v>
      </c>
      <c r="O142" s="224">
        <f>SUM(C142:N142)</f>
        <v>0</v>
      </c>
      <c r="P142" s="110"/>
      <c r="Q142" s="96"/>
      <c r="R142" s="10" t="s">
        <v>28</v>
      </c>
      <c r="T142" s="223">
        <f>SUM(T139:T140)</f>
        <v>0</v>
      </c>
      <c r="U142" s="223">
        <f>SUM(U139:U140)</f>
        <v>474800.64492671995</v>
      </c>
      <c r="V142" s="223">
        <f>SUM(V139:V140)</f>
        <v>2279043.0956482557</v>
      </c>
      <c r="W142" s="223">
        <f>SUM(W139:W140)</f>
        <v>8831291.9956369922</v>
      </c>
      <c r="X142" s="224">
        <f>SUM(X139:X141)</f>
        <v>12668394.468495408</v>
      </c>
      <c r="Y142" s="10"/>
      <c r="Z142" s="10"/>
    </row>
    <row r="143" spans="2:26" ht="14" customHeight="1" x14ac:dyDescent="0.3">
      <c r="B143" s="6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1"/>
      <c r="P143" s="6"/>
      <c r="Q143" s="94"/>
      <c r="R143" s="6"/>
      <c r="S143" s="1"/>
      <c r="T143" s="1"/>
      <c r="U143" s="1"/>
      <c r="V143" s="1"/>
    </row>
    <row r="144" spans="2:26" ht="14" customHeight="1" x14ac:dyDescent="0.3">
      <c r="C144" s="42"/>
      <c r="D144" s="42"/>
      <c r="E144" s="42"/>
      <c r="F144" s="42"/>
      <c r="G144" s="42"/>
      <c r="Q144" s="97"/>
    </row>
    <row r="145" spans="2:26" ht="14" customHeight="1" x14ac:dyDescent="0.3">
      <c r="C145" s="42"/>
      <c r="D145" s="42"/>
      <c r="E145" s="42"/>
      <c r="F145" s="42"/>
      <c r="G145" s="42"/>
      <c r="Q145" s="97"/>
    </row>
    <row r="146" spans="2:26" ht="14" customHeight="1" x14ac:dyDescent="0.3">
      <c r="Q146" s="97"/>
      <c r="R146" s="6"/>
      <c r="S146" s="1"/>
      <c r="T146" s="1"/>
      <c r="U146" s="1"/>
    </row>
    <row r="147" spans="2:26" ht="14" customHeight="1" x14ac:dyDescent="0.3">
      <c r="B147" s="7" t="s">
        <v>153</v>
      </c>
      <c r="Q147" s="97"/>
      <c r="R147" s="7" t="s">
        <v>29</v>
      </c>
    </row>
    <row r="148" spans="2:26" ht="14" customHeight="1" x14ac:dyDescent="0.3">
      <c r="B148" s="12"/>
      <c r="C148" s="108" t="s">
        <v>139</v>
      </c>
      <c r="D148" s="108" t="s">
        <v>140</v>
      </c>
      <c r="E148" s="108" t="s">
        <v>141</v>
      </c>
      <c r="F148" s="108" t="s">
        <v>142</v>
      </c>
      <c r="G148" s="108" t="s">
        <v>143</v>
      </c>
      <c r="H148" s="108" t="s">
        <v>144</v>
      </c>
      <c r="I148" s="108" t="s">
        <v>145</v>
      </c>
      <c r="J148" s="108" t="s">
        <v>146</v>
      </c>
      <c r="K148" s="108" t="s">
        <v>147</v>
      </c>
      <c r="L148" s="108" t="s">
        <v>148</v>
      </c>
      <c r="M148" s="108" t="s">
        <v>149</v>
      </c>
      <c r="N148" s="108" t="s">
        <v>150</v>
      </c>
      <c r="O148" s="108" t="s">
        <v>16</v>
      </c>
      <c r="P148" s="4"/>
      <c r="Q148" s="97"/>
      <c r="R148" s="12"/>
      <c r="T148" s="108">
        <v>2020</v>
      </c>
      <c r="U148" s="108">
        <v>2021</v>
      </c>
      <c r="V148" s="108">
        <v>2022</v>
      </c>
      <c r="W148" s="108">
        <v>2023</v>
      </c>
      <c r="X148" s="108" t="s">
        <v>16</v>
      </c>
      <c r="Z148" s="8"/>
    </row>
    <row r="149" spans="2:26" ht="14" customHeight="1" x14ac:dyDescent="0.3">
      <c r="B149" s="10" t="s">
        <v>123</v>
      </c>
      <c r="C149" s="13">
        <f>Assumptions!$F$102*Income!C155</f>
        <v>0</v>
      </c>
      <c r="D149" s="13">
        <f>Assumptions!$F$102*Income!D155</f>
        <v>0</v>
      </c>
      <c r="E149" s="13">
        <f>Assumptions!$F$102*Income!E155</f>
        <v>0</v>
      </c>
      <c r="F149" s="13">
        <f>Assumptions!$F$102*Income!F155</f>
        <v>0</v>
      </c>
      <c r="G149" s="13">
        <f>Assumptions!$F$102*Income!G155</f>
        <v>0</v>
      </c>
      <c r="H149" s="13">
        <f>Assumptions!$F$102*Income!H155</f>
        <v>0</v>
      </c>
      <c r="I149" s="13">
        <f>Assumptions!$F$102*Income!I155</f>
        <v>0</v>
      </c>
      <c r="J149" s="13">
        <f>Assumptions!$F$102*Income!J155</f>
        <v>0</v>
      </c>
      <c r="K149" s="13">
        <f>Assumptions!$F$102*Income!K155</f>
        <v>0</v>
      </c>
      <c r="L149" s="13">
        <f>Assumptions!$F$102*Income!L155</f>
        <v>0</v>
      </c>
      <c r="M149" s="13">
        <f>Assumptions!$F$102*Income!M155</f>
        <v>0</v>
      </c>
      <c r="N149" s="13">
        <f>Assumptions!$F$102*Income!N155</f>
        <v>0</v>
      </c>
      <c r="O149" s="13">
        <f>SUM(C149:N149)</f>
        <v>0</v>
      </c>
      <c r="Q149" s="97"/>
      <c r="R149" s="10" t="s">
        <v>123</v>
      </c>
      <c r="T149" s="171">
        <f>O149</f>
        <v>0</v>
      </c>
      <c r="U149" s="171">
        <f>Assumptions!G102*Income!U155</f>
        <v>248.37865919999996</v>
      </c>
      <c r="V149" s="171">
        <f>Assumptions!H102*Income!V155</f>
        <v>1490.2719551999996</v>
      </c>
      <c r="W149" s="171">
        <f>Assumptions!I102*Income!W155</f>
        <v>4967.5731839999989</v>
      </c>
      <c r="X149" s="171">
        <f>SUM(T149:W149)</f>
        <v>6706.2237983999985</v>
      </c>
      <c r="Z149" s="8"/>
    </row>
    <row r="150" spans="2:26" ht="14" customHeight="1" x14ac:dyDescent="0.3">
      <c r="B150" s="8" t="s">
        <v>31</v>
      </c>
      <c r="C150" s="203">
        <f>Assumptions!$F$105</f>
        <v>594</v>
      </c>
      <c r="D150" s="203">
        <f>Assumptions!$F$105</f>
        <v>594</v>
      </c>
      <c r="E150" s="203">
        <f>Assumptions!$F$105</f>
        <v>594</v>
      </c>
      <c r="F150" s="203">
        <f>Assumptions!$F$105</f>
        <v>594</v>
      </c>
      <c r="G150" s="203">
        <f>Assumptions!$F$105</f>
        <v>594</v>
      </c>
      <c r="H150" s="203">
        <f>Assumptions!$F$105</f>
        <v>594</v>
      </c>
      <c r="I150" s="203">
        <f>Assumptions!$F$105</f>
        <v>594</v>
      </c>
      <c r="J150" s="203">
        <f>Assumptions!$F$105</f>
        <v>594</v>
      </c>
      <c r="K150" s="203">
        <f>Assumptions!$F$105</f>
        <v>594</v>
      </c>
      <c r="L150" s="203">
        <f>Assumptions!$F$105</f>
        <v>594</v>
      </c>
      <c r="M150" s="203">
        <f>Assumptions!$F$105</f>
        <v>594</v>
      </c>
      <c r="N150" s="203">
        <f>Assumptions!$F$105</f>
        <v>594</v>
      </c>
      <c r="O150" s="203"/>
      <c r="Q150" s="97"/>
      <c r="R150" s="8" t="s">
        <v>31</v>
      </c>
      <c r="T150" s="203">
        <f>Assumptions!F105</f>
        <v>594</v>
      </c>
      <c r="U150" s="203">
        <f>Assumptions!G105</f>
        <v>534.6</v>
      </c>
      <c r="V150" s="203">
        <f>Assumptions!H105</f>
        <v>427.68000000000006</v>
      </c>
      <c r="W150" s="203">
        <f>Assumptions!I105</f>
        <v>342.14400000000006</v>
      </c>
      <c r="X150" s="203"/>
      <c r="Z150" s="8"/>
    </row>
    <row r="151" spans="2:26" ht="14" customHeight="1" x14ac:dyDescent="0.3">
      <c r="B151" s="8" t="s">
        <v>135</v>
      </c>
      <c r="C151" s="175">
        <f t="shared" ref="C151:N151" si="55">C149*C150</f>
        <v>0</v>
      </c>
      <c r="D151" s="175">
        <f t="shared" si="55"/>
        <v>0</v>
      </c>
      <c r="E151" s="175">
        <f t="shared" si="55"/>
        <v>0</v>
      </c>
      <c r="F151" s="175">
        <f t="shared" si="55"/>
        <v>0</v>
      </c>
      <c r="G151" s="175">
        <f t="shared" si="55"/>
        <v>0</v>
      </c>
      <c r="H151" s="175">
        <f t="shared" si="55"/>
        <v>0</v>
      </c>
      <c r="I151" s="175">
        <f t="shared" si="55"/>
        <v>0</v>
      </c>
      <c r="J151" s="175">
        <f t="shared" si="55"/>
        <v>0</v>
      </c>
      <c r="K151" s="175">
        <f t="shared" si="55"/>
        <v>0</v>
      </c>
      <c r="L151" s="175">
        <f t="shared" si="55"/>
        <v>0</v>
      </c>
      <c r="M151" s="175">
        <f t="shared" si="55"/>
        <v>0</v>
      </c>
      <c r="N151" s="175">
        <f t="shared" si="55"/>
        <v>0</v>
      </c>
      <c r="O151" s="175">
        <f>SUM(C151:N151)</f>
        <v>0</v>
      </c>
      <c r="Q151" s="97"/>
      <c r="R151" s="8" t="s">
        <v>135</v>
      </c>
      <c r="T151" s="175">
        <f>T149*T150</f>
        <v>0</v>
      </c>
      <c r="U151" s="175">
        <f>U149*U150</f>
        <v>132783.23120831998</v>
      </c>
      <c r="V151" s="175">
        <f>V149*V150</f>
        <v>637359.50979993597</v>
      </c>
      <c r="W151" s="175">
        <f>W149*W150</f>
        <v>1699625.3594664959</v>
      </c>
      <c r="X151" s="175">
        <f>SUM(T151:W151)</f>
        <v>2469768.100474752</v>
      </c>
      <c r="Z151" s="8"/>
    </row>
    <row r="152" spans="2:26" ht="14" customHeight="1" x14ac:dyDescent="0.3">
      <c r="B152" s="10" t="s">
        <v>124</v>
      </c>
      <c r="C152" s="111">
        <f>Assumptions!$F$103*Income!C155</f>
        <v>0</v>
      </c>
      <c r="D152" s="111">
        <f>Assumptions!$F$103*Income!D155</f>
        <v>0</v>
      </c>
      <c r="E152" s="111">
        <f>Assumptions!$F$103*Income!E155</f>
        <v>0</v>
      </c>
      <c r="F152" s="111">
        <f>Assumptions!$F$103*Income!F155</f>
        <v>0</v>
      </c>
      <c r="G152" s="111">
        <f>Assumptions!$F$103*Income!G155</f>
        <v>0</v>
      </c>
      <c r="H152" s="111">
        <f>Assumptions!$F$103*Income!H155</f>
        <v>0</v>
      </c>
      <c r="I152" s="111">
        <f>Assumptions!$F$103*Income!I155</f>
        <v>0</v>
      </c>
      <c r="J152" s="111">
        <f>Assumptions!$F$103*Income!J155</f>
        <v>0</v>
      </c>
      <c r="K152" s="111">
        <f>Assumptions!$F$103*Income!K155</f>
        <v>0</v>
      </c>
      <c r="L152" s="111">
        <f>Assumptions!$F$103*Income!L155</f>
        <v>0</v>
      </c>
      <c r="M152" s="111">
        <f>Assumptions!$F$103*Income!M155</f>
        <v>0</v>
      </c>
      <c r="N152" s="111">
        <f>Assumptions!$F$103*Income!N155</f>
        <v>0</v>
      </c>
      <c r="O152" s="111">
        <f>SUM(C152:N152)</f>
        <v>0</v>
      </c>
      <c r="P152" s="8"/>
      <c r="Q152" s="98"/>
      <c r="R152" s="10" t="s">
        <v>124</v>
      </c>
      <c r="T152" s="210">
        <f>O152</f>
        <v>0</v>
      </c>
      <c r="U152" s="210">
        <f>Assumptions!F103*Income!U155</f>
        <v>165.58577279999997</v>
      </c>
      <c r="V152" s="210">
        <f>Assumptions!G103*Income!V155</f>
        <v>993.51463679999983</v>
      </c>
      <c r="W152" s="210">
        <f>Assumptions!H103*Income!W155</f>
        <v>3311.7154559999999</v>
      </c>
      <c r="X152" s="210">
        <f>SUM(T152:W152)</f>
        <v>4470.8158655999996</v>
      </c>
      <c r="Z152" s="8"/>
    </row>
    <row r="153" spans="2:26" ht="14" customHeight="1" x14ac:dyDescent="0.3">
      <c r="B153" s="8" t="s">
        <v>31</v>
      </c>
      <c r="C153" s="175">
        <f>Assumptions!$F$106</f>
        <v>495</v>
      </c>
      <c r="D153" s="175">
        <f>Assumptions!$F$106</f>
        <v>495</v>
      </c>
      <c r="E153" s="175">
        <f>Assumptions!$F$106</f>
        <v>495</v>
      </c>
      <c r="F153" s="175">
        <f>Assumptions!$F$106</f>
        <v>495</v>
      </c>
      <c r="G153" s="175">
        <f>Assumptions!$F$106</f>
        <v>495</v>
      </c>
      <c r="H153" s="175">
        <f>Assumptions!$F$106</f>
        <v>495</v>
      </c>
      <c r="I153" s="175">
        <f>Assumptions!$F$106</f>
        <v>495</v>
      </c>
      <c r="J153" s="175">
        <f>Assumptions!$F$106</f>
        <v>495</v>
      </c>
      <c r="K153" s="175">
        <f>Assumptions!$F$106</f>
        <v>495</v>
      </c>
      <c r="L153" s="175">
        <f>Assumptions!$F$106</f>
        <v>495</v>
      </c>
      <c r="M153" s="175">
        <f>Assumptions!$F$106</f>
        <v>495</v>
      </c>
      <c r="N153" s="175">
        <f>Assumptions!$F$106</f>
        <v>495</v>
      </c>
      <c r="O153" s="175"/>
      <c r="P153" s="8"/>
      <c r="Q153" s="98"/>
      <c r="R153" s="8" t="s">
        <v>31</v>
      </c>
      <c r="T153" s="175">
        <f>Assumptions!F106</f>
        <v>495</v>
      </c>
      <c r="U153" s="175">
        <f>Assumptions!G106</f>
        <v>445.5</v>
      </c>
      <c r="V153" s="175">
        <f>Assumptions!H106</f>
        <v>356.40000000000003</v>
      </c>
      <c r="W153" s="175">
        <f>Assumptions!I106</f>
        <v>285.12000000000006</v>
      </c>
      <c r="X153" s="175"/>
      <c r="Z153" s="8"/>
    </row>
    <row r="154" spans="2:26" ht="14" customHeight="1" x14ac:dyDescent="0.3">
      <c r="B154" s="8" t="s">
        <v>136</v>
      </c>
      <c r="C154" s="203">
        <f t="shared" ref="C154:N154" si="56">C152*C153</f>
        <v>0</v>
      </c>
      <c r="D154" s="203">
        <f t="shared" si="56"/>
        <v>0</v>
      </c>
      <c r="E154" s="203">
        <f t="shared" si="56"/>
        <v>0</v>
      </c>
      <c r="F154" s="203">
        <f t="shared" si="56"/>
        <v>0</v>
      </c>
      <c r="G154" s="203">
        <f t="shared" si="56"/>
        <v>0</v>
      </c>
      <c r="H154" s="203">
        <f t="shared" si="56"/>
        <v>0</v>
      </c>
      <c r="I154" s="203">
        <f t="shared" si="56"/>
        <v>0</v>
      </c>
      <c r="J154" s="203">
        <f t="shared" si="56"/>
        <v>0</v>
      </c>
      <c r="K154" s="203">
        <f t="shared" si="56"/>
        <v>0</v>
      </c>
      <c r="L154" s="203">
        <f t="shared" si="56"/>
        <v>0</v>
      </c>
      <c r="M154" s="203">
        <f t="shared" si="56"/>
        <v>0</v>
      </c>
      <c r="N154" s="203">
        <f t="shared" si="56"/>
        <v>0</v>
      </c>
      <c r="O154" s="203">
        <f>SUM(C154:N154)</f>
        <v>0</v>
      </c>
      <c r="P154" s="8"/>
      <c r="Q154" s="98"/>
      <c r="R154" s="8" t="s">
        <v>136</v>
      </c>
      <c r="T154" s="203">
        <f>T152*T153</f>
        <v>0</v>
      </c>
      <c r="U154" s="203">
        <f>U152*U153</f>
        <v>73768.461782399987</v>
      </c>
      <c r="V154" s="203">
        <f>V152*V153</f>
        <v>354088.61655551998</v>
      </c>
      <c r="W154" s="203">
        <f>W152*W153</f>
        <v>944236.31081472023</v>
      </c>
      <c r="X154" s="203">
        <f>SUM(T154:W154)</f>
        <v>1372093.3891526402</v>
      </c>
      <c r="Z154" s="8"/>
    </row>
    <row r="155" spans="2:26" s="7" customFormat="1" ht="14" customHeight="1" x14ac:dyDescent="0.3">
      <c r="B155" s="10" t="s">
        <v>152</v>
      </c>
      <c r="C155" s="16">
        <f>'Forecast Sold Cars'!C165</f>
        <v>0</v>
      </c>
      <c r="D155" s="16">
        <f>'Forecast Sold Cars'!D165</f>
        <v>0</v>
      </c>
      <c r="E155" s="16">
        <f>'Forecast Sold Cars'!E165</f>
        <v>0</v>
      </c>
      <c r="F155" s="16">
        <f>'Forecast Sold Cars'!F165</f>
        <v>0</v>
      </c>
      <c r="G155" s="16">
        <f>'Forecast Sold Cars'!G165</f>
        <v>0</v>
      </c>
      <c r="H155" s="16">
        <f>'Forecast Sold Cars'!H165</f>
        <v>0</v>
      </c>
      <c r="I155" s="16">
        <f>'Forecast Sold Cars'!I165</f>
        <v>0</v>
      </c>
      <c r="J155" s="16">
        <f>'Forecast Sold Cars'!J165</f>
        <v>0</v>
      </c>
      <c r="K155" s="16">
        <f>'Forecast Sold Cars'!K165</f>
        <v>0</v>
      </c>
      <c r="L155" s="16">
        <f>'Forecast Sold Cars'!L165</f>
        <v>0</v>
      </c>
      <c r="M155" s="16">
        <f>'Forecast Sold Cars'!M165</f>
        <v>0</v>
      </c>
      <c r="N155" s="16">
        <f>'Forecast Sold Cars'!N165</f>
        <v>0</v>
      </c>
      <c r="O155" s="103">
        <f>SUM(C155:N155)</f>
        <v>0</v>
      </c>
      <c r="P155" s="109"/>
      <c r="Q155" s="112"/>
      <c r="R155" s="10" t="s">
        <v>152</v>
      </c>
      <c r="T155" s="16">
        <f>O155</f>
        <v>0</v>
      </c>
      <c r="U155" s="16">
        <f>'Forecast Sold Cars'!E175</f>
        <v>413.96443199999993</v>
      </c>
      <c r="V155" s="16">
        <f>'Forecast Sold Cars'!F175</f>
        <v>2483.7865919999995</v>
      </c>
      <c r="W155" s="16">
        <f>'Forecast Sold Cars'!G175</f>
        <v>8279.2886399999988</v>
      </c>
      <c r="X155" s="16">
        <f>SUM(T155:W155)</f>
        <v>11177.039663999998</v>
      </c>
      <c r="Y155" s="10"/>
      <c r="Z155" s="10"/>
    </row>
    <row r="156" spans="2:26" s="7" customFormat="1" ht="14" customHeight="1" x14ac:dyDescent="0.3">
      <c r="B156" s="10" t="s">
        <v>28</v>
      </c>
      <c r="C156" s="204">
        <f>SUM(C151,C154)</f>
        <v>0</v>
      </c>
      <c r="D156" s="204">
        <f t="shared" ref="D156:N156" si="57">SUM(D151,D154)</f>
        <v>0</v>
      </c>
      <c r="E156" s="204">
        <f t="shared" si="57"/>
        <v>0</v>
      </c>
      <c r="F156" s="204">
        <f t="shared" si="57"/>
        <v>0</v>
      </c>
      <c r="G156" s="204">
        <f t="shared" si="57"/>
        <v>0</v>
      </c>
      <c r="H156" s="204">
        <f t="shared" si="57"/>
        <v>0</v>
      </c>
      <c r="I156" s="204">
        <f t="shared" si="57"/>
        <v>0</v>
      </c>
      <c r="J156" s="204">
        <f t="shared" si="57"/>
        <v>0</v>
      </c>
      <c r="K156" s="204">
        <f t="shared" si="57"/>
        <v>0</v>
      </c>
      <c r="L156" s="204">
        <f t="shared" si="57"/>
        <v>0</v>
      </c>
      <c r="M156" s="204">
        <f t="shared" si="57"/>
        <v>0</v>
      </c>
      <c r="N156" s="204">
        <f t="shared" si="57"/>
        <v>0</v>
      </c>
      <c r="O156" s="205">
        <f>SUM(C156:N156)</f>
        <v>0</v>
      </c>
      <c r="Q156" s="113"/>
      <c r="R156" s="10" t="s">
        <v>28</v>
      </c>
      <c r="T156" s="204">
        <f>SUM(T151,T154)</f>
        <v>0</v>
      </c>
      <c r="U156" s="204">
        <f>SUM(U151,U154)</f>
        <v>206551.69299071998</v>
      </c>
      <c r="V156" s="204">
        <f>SUM(V151,V154)</f>
        <v>991448.12635545596</v>
      </c>
      <c r="W156" s="204">
        <f>SUM(W151,W154)</f>
        <v>2643861.670281216</v>
      </c>
      <c r="X156" s="205">
        <f>SUM(T156:W156)</f>
        <v>3841861.489627392</v>
      </c>
      <c r="Y156" s="10"/>
      <c r="Z156" s="10"/>
    </row>
    <row r="157" spans="2:26" ht="14" customHeight="1" x14ac:dyDescent="0.3"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Q157" s="97"/>
      <c r="S157" s="43"/>
      <c r="T157" s="43"/>
      <c r="U157" s="43"/>
      <c r="V157" s="43"/>
    </row>
    <row r="158" spans="2:26" ht="14" customHeight="1" x14ac:dyDescent="0.3">
      <c r="B158" s="7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Q158" s="97"/>
      <c r="R158" s="7"/>
      <c r="S158" s="44"/>
      <c r="T158" s="44"/>
      <c r="U158" s="44"/>
      <c r="V158" s="44"/>
    </row>
    <row r="159" spans="2:26" ht="14" customHeight="1" x14ac:dyDescent="0.3">
      <c r="B159" s="7" t="s">
        <v>154</v>
      </c>
      <c r="Q159" s="97"/>
      <c r="R159" s="7" t="s">
        <v>30</v>
      </c>
    </row>
    <row r="160" spans="2:26" ht="14" customHeight="1" x14ac:dyDescent="0.3">
      <c r="B160" s="17"/>
      <c r="C160" s="108" t="s">
        <v>139</v>
      </c>
      <c r="D160" s="108" t="s">
        <v>140</v>
      </c>
      <c r="E160" s="108" t="s">
        <v>141</v>
      </c>
      <c r="F160" s="108" t="s">
        <v>142</v>
      </c>
      <c r="G160" s="108" t="s">
        <v>143</v>
      </c>
      <c r="H160" s="108" t="s">
        <v>144</v>
      </c>
      <c r="I160" s="108" t="s">
        <v>145</v>
      </c>
      <c r="J160" s="108" t="s">
        <v>146</v>
      </c>
      <c r="K160" s="108" t="s">
        <v>147</v>
      </c>
      <c r="L160" s="108" t="s">
        <v>148</v>
      </c>
      <c r="M160" s="108" t="s">
        <v>149</v>
      </c>
      <c r="N160" s="108" t="s">
        <v>150</v>
      </c>
      <c r="O160" s="108" t="s">
        <v>16</v>
      </c>
      <c r="P160" s="5"/>
      <c r="Q160" s="100"/>
      <c r="R160" s="17"/>
      <c r="T160" s="108">
        <v>2020</v>
      </c>
      <c r="U160" s="108">
        <v>2021</v>
      </c>
      <c r="V160" s="108">
        <v>2022</v>
      </c>
      <c r="W160" s="108">
        <v>2023</v>
      </c>
      <c r="X160" s="108" t="s">
        <v>16</v>
      </c>
      <c r="Z160" s="8"/>
    </row>
    <row r="161" spans="2:26" ht="14" customHeight="1" x14ac:dyDescent="0.3">
      <c r="B161" s="8" t="s">
        <v>27</v>
      </c>
      <c r="C161" s="45">
        <f>C155</f>
        <v>0</v>
      </c>
      <c r="D161" s="45">
        <f t="shared" ref="D161:N161" si="58">D155</f>
        <v>0</v>
      </c>
      <c r="E161" s="45">
        <f t="shared" si="58"/>
        <v>0</v>
      </c>
      <c r="F161" s="45">
        <f t="shared" si="58"/>
        <v>0</v>
      </c>
      <c r="G161" s="45">
        <f t="shared" si="58"/>
        <v>0</v>
      </c>
      <c r="H161" s="45">
        <f t="shared" si="58"/>
        <v>0</v>
      </c>
      <c r="I161" s="45">
        <f t="shared" si="58"/>
        <v>0</v>
      </c>
      <c r="J161" s="45">
        <f t="shared" si="58"/>
        <v>0</v>
      </c>
      <c r="K161" s="45">
        <f t="shared" si="58"/>
        <v>0</v>
      </c>
      <c r="L161" s="45">
        <f t="shared" si="58"/>
        <v>0</v>
      </c>
      <c r="M161" s="45">
        <f t="shared" si="58"/>
        <v>0</v>
      </c>
      <c r="N161" s="45">
        <f t="shared" si="58"/>
        <v>0</v>
      </c>
      <c r="O161" s="18">
        <f>SUM(C161:N161)</f>
        <v>0</v>
      </c>
      <c r="P161" s="5"/>
      <c r="Q161" s="100"/>
      <c r="R161" s="8" t="s">
        <v>27</v>
      </c>
      <c r="T161" s="45">
        <f>T155</f>
        <v>0</v>
      </c>
      <c r="U161" s="45">
        <f>U155</f>
        <v>413.96443199999993</v>
      </c>
      <c r="V161" s="45">
        <f>V155</f>
        <v>2483.7865919999995</v>
      </c>
      <c r="W161" s="45">
        <f>W155</f>
        <v>8279.2886399999988</v>
      </c>
      <c r="X161" s="45">
        <f>SUM(T161:W161)</f>
        <v>11177.039663999998</v>
      </c>
      <c r="Z161" s="8"/>
    </row>
    <row r="162" spans="2:26" ht="14" customHeight="1" x14ac:dyDescent="0.3">
      <c r="B162" s="8" t="s">
        <v>33</v>
      </c>
      <c r="C162" s="206">
        <f>Assumptions!$F$107</f>
        <v>720</v>
      </c>
      <c r="D162" s="206">
        <f>Assumptions!$F$107</f>
        <v>720</v>
      </c>
      <c r="E162" s="206">
        <f>Assumptions!$F$107</f>
        <v>720</v>
      </c>
      <c r="F162" s="206">
        <f>Assumptions!$F$107</f>
        <v>720</v>
      </c>
      <c r="G162" s="206">
        <f>Assumptions!$F$107</f>
        <v>720</v>
      </c>
      <c r="H162" s="206">
        <f>Assumptions!$F$107</f>
        <v>720</v>
      </c>
      <c r="I162" s="206">
        <f>Assumptions!$F$107</f>
        <v>720</v>
      </c>
      <c r="J162" s="206">
        <f>Assumptions!$F$107</f>
        <v>720</v>
      </c>
      <c r="K162" s="206">
        <f>Assumptions!$F$107</f>
        <v>720</v>
      </c>
      <c r="L162" s="206">
        <f>Assumptions!$F$107</f>
        <v>720</v>
      </c>
      <c r="M162" s="206">
        <f>Assumptions!$F$107</f>
        <v>720</v>
      </c>
      <c r="N162" s="206">
        <f>Assumptions!$F$107</f>
        <v>720</v>
      </c>
      <c r="O162" s="207"/>
      <c r="P162" s="5"/>
      <c r="Q162" s="100"/>
      <c r="R162" s="8" t="s">
        <v>33</v>
      </c>
      <c r="T162" s="211">
        <f>Assumptions!F107</f>
        <v>720</v>
      </c>
      <c r="U162" s="211">
        <f>Assumptions!G107</f>
        <v>648</v>
      </c>
      <c r="V162" s="211">
        <f>Assumptions!H107</f>
        <v>518.4</v>
      </c>
      <c r="W162" s="211">
        <f>Assumptions!I107</f>
        <v>414.72</v>
      </c>
      <c r="X162" s="211"/>
      <c r="Z162" s="8"/>
    </row>
    <row r="163" spans="2:26" s="7" customFormat="1" ht="14" customHeight="1" x14ac:dyDescent="0.3">
      <c r="B163" s="10" t="s">
        <v>28</v>
      </c>
      <c r="C163" s="208">
        <f t="shared" ref="C163:N163" si="59">C162*C161</f>
        <v>0</v>
      </c>
      <c r="D163" s="208">
        <f t="shared" si="59"/>
        <v>0</v>
      </c>
      <c r="E163" s="208">
        <f t="shared" si="59"/>
        <v>0</v>
      </c>
      <c r="F163" s="208">
        <f t="shared" si="59"/>
        <v>0</v>
      </c>
      <c r="G163" s="208">
        <f t="shared" si="59"/>
        <v>0</v>
      </c>
      <c r="H163" s="208">
        <f t="shared" si="59"/>
        <v>0</v>
      </c>
      <c r="I163" s="208">
        <f t="shared" si="59"/>
        <v>0</v>
      </c>
      <c r="J163" s="208">
        <f t="shared" si="59"/>
        <v>0</v>
      </c>
      <c r="K163" s="208">
        <f t="shared" si="59"/>
        <v>0</v>
      </c>
      <c r="L163" s="208">
        <f t="shared" si="59"/>
        <v>0</v>
      </c>
      <c r="M163" s="208">
        <f t="shared" si="59"/>
        <v>0</v>
      </c>
      <c r="N163" s="208">
        <f t="shared" si="59"/>
        <v>0</v>
      </c>
      <c r="O163" s="209">
        <f>SUM(C163:N163)</f>
        <v>0</v>
      </c>
      <c r="P163" s="19"/>
      <c r="Q163" s="114"/>
      <c r="R163" s="10" t="s">
        <v>28</v>
      </c>
      <c r="T163" s="212">
        <f>T162*T161</f>
        <v>0</v>
      </c>
      <c r="U163" s="212">
        <f>U162*U161</f>
        <v>268248.95193599997</v>
      </c>
      <c r="V163" s="212">
        <f>V162*V161</f>
        <v>1287594.9692927997</v>
      </c>
      <c r="W163" s="212">
        <f>W162*W161</f>
        <v>3433586.5847807997</v>
      </c>
      <c r="X163" s="213">
        <f>SUM(T163:W163)</f>
        <v>4989430.5060095992</v>
      </c>
      <c r="Y163" s="10"/>
      <c r="Z163" s="10"/>
    </row>
    <row r="166" spans="2:26" ht="14" customHeight="1" x14ac:dyDescent="0.3">
      <c r="B166" s="10" t="s">
        <v>253</v>
      </c>
      <c r="C166" s="307"/>
      <c r="D166" s="307"/>
      <c r="E166" s="307"/>
      <c r="F166" s="307"/>
      <c r="G166" s="307"/>
      <c r="H166" s="307"/>
      <c r="I166" s="307"/>
      <c r="J166" s="307"/>
      <c r="K166" s="307"/>
      <c r="L166" s="307"/>
      <c r="M166" s="307"/>
      <c r="N166" s="307"/>
      <c r="O166" s="309"/>
      <c r="P166" s="5"/>
      <c r="Q166" s="308"/>
      <c r="R166" s="10" t="s">
        <v>252</v>
      </c>
      <c r="S166" s="307"/>
      <c r="T166" s="307"/>
      <c r="U166" s="307"/>
      <c r="V166" s="307"/>
      <c r="W166" s="307"/>
      <c r="X166" s="309"/>
    </row>
    <row r="167" spans="2:26" ht="14" customHeight="1" x14ac:dyDescent="0.3">
      <c r="B167" s="17"/>
      <c r="C167" s="404" t="s">
        <v>139</v>
      </c>
      <c r="D167" s="404" t="s">
        <v>140</v>
      </c>
      <c r="E167" s="404" t="s">
        <v>141</v>
      </c>
      <c r="F167" s="404" t="s">
        <v>142</v>
      </c>
      <c r="G167" s="404" t="s">
        <v>143</v>
      </c>
      <c r="H167" s="404" t="s">
        <v>144</v>
      </c>
      <c r="I167" s="404" t="s">
        <v>145</v>
      </c>
      <c r="J167" s="404" t="s">
        <v>146</v>
      </c>
      <c r="K167" s="404" t="s">
        <v>147</v>
      </c>
      <c r="L167" s="404" t="s">
        <v>148</v>
      </c>
      <c r="M167" s="404" t="s">
        <v>149</v>
      </c>
      <c r="N167" s="404" t="s">
        <v>150</v>
      </c>
      <c r="O167" s="404" t="s">
        <v>16</v>
      </c>
      <c r="P167" s="5"/>
      <c r="Q167" s="308"/>
      <c r="R167" s="17"/>
      <c r="S167" s="404">
        <v>2019</v>
      </c>
      <c r="T167" s="404">
        <v>2020</v>
      </c>
      <c r="U167" s="404">
        <v>2021</v>
      </c>
      <c r="V167" s="404">
        <v>2022</v>
      </c>
      <c r="W167" s="404">
        <v>2023</v>
      </c>
      <c r="X167" s="404" t="s">
        <v>16</v>
      </c>
    </row>
    <row r="168" spans="2:26" ht="14" customHeight="1" x14ac:dyDescent="0.3">
      <c r="B168" s="5" t="s">
        <v>249</v>
      </c>
      <c r="C168" s="45">
        <f>'Forecast Users'!C71</f>
        <v>31.720247999999998</v>
      </c>
      <c r="D168" s="45">
        <f>'Forecast Users'!D71</f>
        <v>71.250127199999994</v>
      </c>
      <c r="E168" s="45">
        <f>'Forecast Users'!E71</f>
        <v>137.24089847999997</v>
      </c>
      <c r="F168" s="45">
        <f>'Forecast Users'!F71</f>
        <v>162.06827263199997</v>
      </c>
      <c r="G168" s="45">
        <f>'Forecast Users'!G71</f>
        <v>188.03263736879995</v>
      </c>
      <c r="H168" s="45">
        <f>'Forecast Users'!H71</f>
        <v>232.73790963191996</v>
      </c>
      <c r="I168" s="45">
        <f>'Forecast Users'!I71</f>
        <v>248.77763066872794</v>
      </c>
      <c r="J168" s="45">
        <f>'Forecast Users'!J71</f>
        <v>265.83972360185516</v>
      </c>
      <c r="K168" s="45">
        <f>'Forecast Users'!K71</f>
        <v>290.04080724166965</v>
      </c>
      <c r="L168" s="45">
        <f>'Forecast Users'!L71</f>
        <v>313.9310225175027</v>
      </c>
      <c r="M168" s="45">
        <f>'Forecast Users'!M71</f>
        <v>349.31237626575239</v>
      </c>
      <c r="N168" s="45">
        <f>'Forecast Users'!N71</f>
        <v>391.85148263917716</v>
      </c>
      <c r="O168" s="18">
        <f>N168</f>
        <v>391.85148263917716</v>
      </c>
      <c r="P168" s="5"/>
      <c r="Q168" s="308"/>
      <c r="R168" s="5" t="s">
        <v>251</v>
      </c>
      <c r="S168" s="357"/>
      <c r="T168" s="357">
        <v>0</v>
      </c>
      <c r="U168" s="357">
        <f>O168</f>
        <v>391.85148263917716</v>
      </c>
      <c r="V168" s="357">
        <f>'Forecast Users'!F79</f>
        <v>5320.2395183752587</v>
      </c>
      <c r="W168" s="357">
        <f>'Forecast Users'!G79</f>
        <v>37905.370126537731</v>
      </c>
      <c r="X168" s="263">
        <f>W168</f>
        <v>37905.370126537731</v>
      </c>
    </row>
    <row r="169" spans="2:26" ht="14" customHeight="1" x14ac:dyDescent="0.3">
      <c r="B169" s="5" t="s">
        <v>250</v>
      </c>
      <c r="C169" s="405">
        <f>'Forecast Users'!C72</f>
        <v>0</v>
      </c>
      <c r="D169" s="405">
        <f>'Forecast Users'!D72</f>
        <v>0</v>
      </c>
      <c r="E169" s="405">
        <f>'Forecast Users'!E72</f>
        <v>0</v>
      </c>
      <c r="F169" s="405">
        <f>'Forecast Users'!F72</f>
        <v>0</v>
      </c>
      <c r="G169" s="405">
        <f>'Forecast Users'!G72</f>
        <v>0</v>
      </c>
      <c r="H169" s="405">
        <f>'Forecast Users'!H72</f>
        <v>0</v>
      </c>
      <c r="I169" s="405">
        <f>'Forecast Users'!I72</f>
        <v>0</v>
      </c>
      <c r="J169" s="405">
        <f>'Forecast Users'!J72</f>
        <v>0</v>
      </c>
      <c r="K169" s="405">
        <f>'Forecast Users'!K72</f>
        <v>0</v>
      </c>
      <c r="L169" s="405">
        <f>'Forecast Users'!L72</f>
        <v>0</v>
      </c>
      <c r="M169" s="405">
        <f>'Forecast Users'!M72</f>
        <v>0</v>
      </c>
      <c r="N169" s="405">
        <f>'Forecast Users'!N72</f>
        <v>0</v>
      </c>
      <c r="O169" s="406">
        <f>SUM(C169:N169)</f>
        <v>0</v>
      </c>
      <c r="P169" s="5"/>
      <c r="Q169" s="308"/>
      <c r="R169" s="5" t="s">
        <v>250</v>
      </c>
      <c r="S169" s="409"/>
      <c r="T169" s="409">
        <v>0</v>
      </c>
      <c r="U169" s="405">
        <f t="shared" ref="U169:U171" si="60">O169</f>
        <v>0</v>
      </c>
      <c r="V169" s="405">
        <f>'Forecast Users'!F80</f>
        <v>42561.91614700207</v>
      </c>
      <c r="W169" s="405">
        <f>'Forecast Users'!G80</f>
        <v>341148.3311388396</v>
      </c>
      <c r="X169" s="410">
        <f>SUM(S169:W169)</f>
        <v>383710.24728584167</v>
      </c>
    </row>
    <row r="170" spans="2:26" ht="14" customHeight="1" x14ac:dyDescent="0.3">
      <c r="B170" s="5" t="s">
        <v>240</v>
      </c>
      <c r="C170" s="358">
        <f>Assumptions!G97</f>
        <v>10</v>
      </c>
      <c r="D170" s="358">
        <f>C170</f>
        <v>10</v>
      </c>
      <c r="E170" s="358">
        <f t="shared" ref="E170:N170" si="61">D170</f>
        <v>10</v>
      </c>
      <c r="F170" s="358">
        <f t="shared" si="61"/>
        <v>10</v>
      </c>
      <c r="G170" s="358">
        <f t="shared" si="61"/>
        <v>10</v>
      </c>
      <c r="H170" s="358">
        <f t="shared" si="61"/>
        <v>10</v>
      </c>
      <c r="I170" s="358">
        <f t="shared" si="61"/>
        <v>10</v>
      </c>
      <c r="J170" s="358">
        <f t="shared" si="61"/>
        <v>10</v>
      </c>
      <c r="K170" s="358">
        <f t="shared" si="61"/>
        <v>10</v>
      </c>
      <c r="L170" s="358">
        <f t="shared" si="61"/>
        <v>10</v>
      </c>
      <c r="M170" s="358">
        <f t="shared" si="61"/>
        <v>10</v>
      </c>
      <c r="N170" s="358">
        <f t="shared" si="61"/>
        <v>10</v>
      </c>
      <c r="O170" s="264"/>
      <c r="P170" s="5"/>
      <c r="Q170" s="308"/>
      <c r="R170" s="5" t="s">
        <v>240</v>
      </c>
      <c r="S170" s="358"/>
      <c r="T170" s="358">
        <v>0</v>
      </c>
      <c r="U170" s="358">
        <f>N170</f>
        <v>10</v>
      </c>
      <c r="V170" s="358">
        <f>Assumptions!H97</f>
        <v>10</v>
      </c>
      <c r="W170" s="358">
        <f>Assumptions!I97</f>
        <v>10</v>
      </c>
      <c r="X170" s="264"/>
    </row>
    <row r="171" spans="2:26" ht="14" customHeight="1" x14ac:dyDescent="0.3">
      <c r="B171" s="10" t="s">
        <v>28</v>
      </c>
      <c r="C171" s="407">
        <f>C170*C169</f>
        <v>0</v>
      </c>
      <c r="D171" s="407">
        <f t="shared" ref="D171" si="62">D170*D169</f>
        <v>0</v>
      </c>
      <c r="E171" s="407">
        <f t="shared" ref="E171" si="63">E170*E169</f>
        <v>0</v>
      </c>
      <c r="F171" s="407">
        <f t="shared" ref="F171" si="64">F170*F169</f>
        <v>0</v>
      </c>
      <c r="G171" s="407">
        <f t="shared" ref="G171" si="65">G170*G169</f>
        <v>0</v>
      </c>
      <c r="H171" s="407">
        <f t="shared" ref="H171" si="66">H170*H169</f>
        <v>0</v>
      </c>
      <c r="I171" s="407">
        <f t="shared" ref="I171" si="67">I170*I169</f>
        <v>0</v>
      </c>
      <c r="J171" s="407">
        <f t="shared" ref="J171" si="68">J170*J169</f>
        <v>0</v>
      </c>
      <c r="K171" s="407">
        <f t="shared" ref="K171" si="69">K170*K169</f>
        <v>0</v>
      </c>
      <c r="L171" s="407">
        <f t="shared" ref="L171" si="70">L170*L169</f>
        <v>0</v>
      </c>
      <c r="M171" s="407">
        <f t="shared" ref="M171" si="71">M170*M169</f>
        <v>0</v>
      </c>
      <c r="N171" s="407">
        <f t="shared" ref="N171" si="72">N170*N169</f>
        <v>0</v>
      </c>
      <c r="O171" s="408">
        <f>SUM(C171:N171)</f>
        <v>0</v>
      </c>
      <c r="R171" s="10" t="s">
        <v>28</v>
      </c>
      <c r="S171" s="407"/>
      <c r="T171" s="409">
        <v>0</v>
      </c>
      <c r="U171" s="405">
        <f t="shared" si="60"/>
        <v>0</v>
      </c>
      <c r="V171" s="407">
        <f t="shared" ref="V171" si="73">V170*V169</f>
        <v>425619.16147002071</v>
      </c>
      <c r="W171" s="407">
        <f t="shared" ref="W171" si="74">W170*W169</f>
        <v>3411483.3113883957</v>
      </c>
      <c r="X171" s="408">
        <f>SUM(S171:W171)</f>
        <v>3837102.4728584164</v>
      </c>
    </row>
    <row r="176" spans="2:26" ht="20" customHeight="1" x14ac:dyDescent="0.3">
      <c r="B176" s="115" t="s">
        <v>28</v>
      </c>
      <c r="C176" s="7"/>
    </row>
    <row r="178" spans="2:25" ht="14" customHeight="1" x14ac:dyDescent="0.3">
      <c r="B178" s="7" t="s">
        <v>34</v>
      </c>
    </row>
    <row r="179" spans="2:25" ht="14" customHeight="1" x14ac:dyDescent="0.3">
      <c r="B179" s="20" t="s">
        <v>34</v>
      </c>
      <c r="C179" s="116">
        <v>2019</v>
      </c>
      <c r="D179" s="116">
        <v>2020</v>
      </c>
      <c r="E179" s="116">
        <v>2021</v>
      </c>
      <c r="F179" s="116">
        <v>2022</v>
      </c>
      <c r="G179" s="116">
        <v>2023</v>
      </c>
      <c r="H179" s="116" t="s">
        <v>16</v>
      </c>
    </row>
    <row r="180" spans="2:25" ht="14" customHeight="1" x14ac:dyDescent="0.3">
      <c r="B180" s="8" t="s">
        <v>26</v>
      </c>
      <c r="C180" s="175">
        <f>SUM(S6)</f>
        <v>59727.360000000008</v>
      </c>
      <c r="D180" s="175">
        <f>D195</f>
        <v>491526.15878519998</v>
      </c>
      <c r="E180" s="175">
        <f>E195</f>
        <v>2478995.1090938882</v>
      </c>
      <c r="F180" s="175">
        <f>F195</f>
        <v>7750063.1520829443</v>
      </c>
      <c r="G180" s="175">
        <f>G195</f>
        <v>20937564.020216957</v>
      </c>
      <c r="H180" s="175">
        <f>SUM(C180:G180)</f>
        <v>31717875.80017899</v>
      </c>
    </row>
    <row r="181" spans="2:25" ht="14" customHeight="1" x14ac:dyDescent="0.3">
      <c r="B181" s="8" t="s">
        <v>27</v>
      </c>
      <c r="C181" s="215">
        <f>SUM(S7)</f>
        <v>77568.000000000015</v>
      </c>
      <c r="D181" s="215">
        <f>D201</f>
        <v>638345.66076000012</v>
      </c>
      <c r="E181" s="215">
        <f>E201</f>
        <v>3219474.1676544002</v>
      </c>
      <c r="F181" s="215">
        <f>F201</f>
        <v>10065017.080627199</v>
      </c>
      <c r="G181" s="215">
        <f>G201</f>
        <v>27191641.584697347</v>
      </c>
      <c r="H181" s="215">
        <f>SUM(C181:G181)</f>
        <v>41192046.493738949</v>
      </c>
    </row>
    <row r="182" spans="2:25" ht="14" customHeight="1" x14ac:dyDescent="0.3">
      <c r="B182" s="8" t="s">
        <v>241</v>
      </c>
      <c r="C182" s="181">
        <f>SUM(S8)</f>
        <v>0</v>
      </c>
      <c r="D182" s="181">
        <f>SUM(T8,T55)</f>
        <v>80947.200000000012</v>
      </c>
      <c r="E182" s="181">
        <f>SUM(U8,U55,U98,U141)</f>
        <v>817700.72651927616</v>
      </c>
      <c r="F182" s="181">
        <f>SUM(V8,V55,V98,V141)</f>
        <v>5148133.136319981</v>
      </c>
      <c r="G182" s="181">
        <f>SUM(W8,W55,W98,W141)</f>
        <v>22526639.356147971</v>
      </c>
      <c r="H182" s="181">
        <f>SUM(C182:G182)</f>
        <v>28573420.418987229</v>
      </c>
    </row>
    <row r="183" spans="2:25" s="7" customFormat="1" ht="14" customHeight="1" x14ac:dyDescent="0.3">
      <c r="B183" s="10" t="s">
        <v>28</v>
      </c>
      <c r="C183" s="216">
        <f>SUM(C180:C182)</f>
        <v>137295.36000000002</v>
      </c>
      <c r="D183" s="216">
        <f t="shared" ref="D183:G183" si="75">SUM(D180:D182)</f>
        <v>1210819.0195452</v>
      </c>
      <c r="E183" s="216">
        <f t="shared" si="75"/>
        <v>6516170.0032675648</v>
      </c>
      <c r="F183" s="216">
        <f t="shared" si="75"/>
        <v>22963213.369030125</v>
      </c>
      <c r="G183" s="216">
        <f t="shared" si="75"/>
        <v>70655844.961062282</v>
      </c>
      <c r="H183" s="356">
        <f>SUM(C183:G183)</f>
        <v>101483342.71290517</v>
      </c>
      <c r="I183" s="10"/>
      <c r="J183" s="10"/>
      <c r="K183" s="10"/>
      <c r="L183" s="10"/>
      <c r="M183" s="10"/>
      <c r="N183" s="10"/>
      <c r="O183" s="10"/>
      <c r="S183" s="10"/>
      <c r="T183" s="10"/>
      <c r="U183" s="10"/>
      <c r="V183" s="10"/>
      <c r="W183" s="10"/>
      <c r="X183" s="10"/>
      <c r="Y183" s="10"/>
    </row>
    <row r="184" spans="2:25" ht="14" customHeight="1" x14ac:dyDescent="0.3">
      <c r="B184" s="6"/>
      <c r="C184" s="1"/>
      <c r="D184" s="1"/>
      <c r="E184" s="1"/>
      <c r="F184" s="1"/>
      <c r="G184" s="1"/>
      <c r="H184" s="1"/>
    </row>
    <row r="187" spans="2:25" ht="14" customHeight="1" x14ac:dyDescent="0.3">
      <c r="B187" s="6"/>
      <c r="C187" s="1"/>
      <c r="D187" s="1"/>
      <c r="E187" s="1"/>
    </row>
    <row r="188" spans="2:25" ht="14" customHeight="1" x14ac:dyDescent="0.3">
      <c r="B188" s="7" t="s">
        <v>50</v>
      </c>
    </row>
    <row r="189" spans="2:25" ht="14" customHeight="1" x14ac:dyDescent="0.3">
      <c r="B189" s="12"/>
      <c r="C189" s="116">
        <v>2019</v>
      </c>
      <c r="D189" s="116">
        <v>2020</v>
      </c>
      <c r="E189" s="116">
        <v>2021</v>
      </c>
      <c r="F189" s="116">
        <v>2022</v>
      </c>
      <c r="G189" s="116">
        <v>2023</v>
      </c>
      <c r="H189" s="116" t="s">
        <v>16</v>
      </c>
    </row>
    <row r="190" spans="2:25" ht="14" customHeight="1" x14ac:dyDescent="0.3">
      <c r="B190" s="10" t="s">
        <v>123</v>
      </c>
      <c r="C190" s="171">
        <f>S16+S63+S106+S149</f>
        <v>58.176000000000002</v>
      </c>
      <c r="D190" s="171">
        <f>T16+T63+T106+T149</f>
        <v>531.95471729999997</v>
      </c>
      <c r="E190" s="171">
        <f>U16+U63+U106+U149</f>
        <v>2980.9945996800002</v>
      </c>
      <c r="F190" s="171">
        <f>V16+V63+V106+V149</f>
        <v>11649.3253248</v>
      </c>
      <c r="G190" s="171">
        <f>W16+W63+W106+W149</f>
        <v>39339.759237120001</v>
      </c>
      <c r="H190" s="171">
        <f t="shared" ref="H190:H195" si="76">SUM(C190:G190)</f>
        <v>54560.209878900001</v>
      </c>
    </row>
    <row r="191" spans="2:25" ht="14" customHeight="1" x14ac:dyDescent="0.3">
      <c r="B191" s="8" t="s">
        <v>135</v>
      </c>
      <c r="C191" s="175">
        <f t="shared" ref="C191:G192" si="77">S18+S65+S108+S151</f>
        <v>38396.160000000003</v>
      </c>
      <c r="D191" s="175">
        <f t="shared" si="77"/>
        <v>315981.10207619995</v>
      </c>
      <c r="E191" s="175">
        <f t="shared" si="77"/>
        <v>1593639.7129889282</v>
      </c>
      <c r="F191" s="175">
        <f t="shared" si="77"/>
        <v>4982183.4549104646</v>
      </c>
      <c r="G191" s="175">
        <f t="shared" si="77"/>
        <v>13459862.584425185</v>
      </c>
      <c r="H191" s="175">
        <f t="shared" si="76"/>
        <v>20390063.014400776</v>
      </c>
    </row>
    <row r="192" spans="2:25" ht="14" customHeight="1" x14ac:dyDescent="0.3">
      <c r="B192" s="10" t="s">
        <v>124</v>
      </c>
      <c r="C192" s="171">
        <f t="shared" si="77"/>
        <v>38.784000000000006</v>
      </c>
      <c r="D192" s="171">
        <f t="shared" si="77"/>
        <v>354.63647820000006</v>
      </c>
      <c r="E192" s="171">
        <f t="shared" si="77"/>
        <v>1987.3297331200001</v>
      </c>
      <c r="F192" s="171">
        <f t="shared" si="77"/>
        <v>7766.2168831999998</v>
      </c>
      <c r="G192" s="171">
        <f t="shared" si="77"/>
        <v>26226.506158080003</v>
      </c>
      <c r="H192" s="368">
        <f t="shared" si="76"/>
        <v>36373.473252600001</v>
      </c>
    </row>
    <row r="193" spans="2:25" ht="14" customHeight="1" x14ac:dyDescent="0.3">
      <c r="B193" s="8" t="s">
        <v>136</v>
      </c>
      <c r="C193" s="215">
        <f t="shared" ref="C193:G194" si="78">S21+S68+S111+S154</f>
        <v>21331.200000000004</v>
      </c>
      <c r="D193" s="215">
        <f t="shared" si="78"/>
        <v>175545.05670900005</v>
      </c>
      <c r="E193" s="215">
        <f t="shared" si="78"/>
        <v>885355.39610496</v>
      </c>
      <c r="F193" s="215">
        <f t="shared" si="78"/>
        <v>2767879.6971724802</v>
      </c>
      <c r="G193" s="215">
        <f t="shared" si="78"/>
        <v>7477701.4357917719</v>
      </c>
      <c r="H193" s="215">
        <f t="shared" si="76"/>
        <v>11327812.785778213</v>
      </c>
    </row>
    <row r="194" spans="2:25" ht="14" customHeight="1" x14ac:dyDescent="0.3">
      <c r="B194" s="10" t="s">
        <v>152</v>
      </c>
      <c r="C194" s="374">
        <f t="shared" si="78"/>
        <v>96.960000000000008</v>
      </c>
      <c r="D194" s="374">
        <f t="shared" si="78"/>
        <v>886.59119550000014</v>
      </c>
      <c r="E194" s="374">
        <f t="shared" si="78"/>
        <v>4968.3243327999999</v>
      </c>
      <c r="F194" s="374">
        <f t="shared" si="78"/>
        <v>19415.542208000003</v>
      </c>
      <c r="G194" s="374">
        <f t="shared" si="78"/>
        <v>65566.265395199996</v>
      </c>
      <c r="H194" s="172">
        <f t="shared" si="76"/>
        <v>90933.683131500002</v>
      </c>
    </row>
    <row r="195" spans="2:25" ht="14" customHeight="1" x14ac:dyDescent="0.3">
      <c r="B195" s="10" t="s">
        <v>28</v>
      </c>
      <c r="C195" s="216">
        <f>SUM(C191,C193)</f>
        <v>59727.360000000008</v>
      </c>
      <c r="D195" s="216">
        <f>SUM(D191,D193)</f>
        <v>491526.15878519998</v>
      </c>
      <c r="E195" s="216">
        <f>SUM(E191,E193)</f>
        <v>2478995.1090938882</v>
      </c>
      <c r="F195" s="216">
        <f>SUM(F191,F193)</f>
        <v>7750063.1520829443</v>
      </c>
      <c r="G195" s="216">
        <f>SUM(G191,G193)</f>
        <v>20937564.020216957</v>
      </c>
      <c r="H195" s="216">
        <f t="shared" si="76"/>
        <v>31717875.80017899</v>
      </c>
    </row>
    <row r="196" spans="2:25" ht="14" customHeight="1" x14ac:dyDescent="0.3">
      <c r="C196" s="43"/>
      <c r="D196" s="43"/>
      <c r="E196" s="43"/>
      <c r="F196" s="43"/>
      <c r="G196" s="43"/>
    </row>
    <row r="197" spans="2:25" ht="14" customHeight="1" x14ac:dyDescent="0.3">
      <c r="B197" s="7"/>
      <c r="C197" s="44"/>
      <c r="D197" s="44"/>
      <c r="E197" s="44"/>
      <c r="F197" s="44"/>
      <c r="G197" s="44"/>
    </row>
    <row r="198" spans="2:25" ht="14" customHeight="1" x14ac:dyDescent="0.3">
      <c r="B198" s="7" t="s">
        <v>51</v>
      </c>
    </row>
    <row r="199" spans="2:25" ht="14" customHeight="1" x14ac:dyDescent="0.3">
      <c r="B199" s="17"/>
      <c r="C199" s="116">
        <v>2019</v>
      </c>
      <c r="D199" s="116">
        <v>2020</v>
      </c>
      <c r="E199" s="116">
        <v>2021</v>
      </c>
      <c r="F199" s="116">
        <v>2022</v>
      </c>
      <c r="G199" s="116">
        <v>2023</v>
      </c>
      <c r="H199" s="116" t="s">
        <v>16</v>
      </c>
    </row>
    <row r="200" spans="2:25" ht="14" customHeight="1" x14ac:dyDescent="0.3">
      <c r="B200" s="8" t="s">
        <v>27</v>
      </c>
      <c r="C200" s="45">
        <f>S28+S75+S118+S161</f>
        <v>96.960000000000008</v>
      </c>
      <c r="D200" s="45">
        <f>T28+T75+T118+T161</f>
        <v>886.59119550000014</v>
      </c>
      <c r="E200" s="45">
        <f>U28+U75+U118+U161</f>
        <v>4968.3243327999999</v>
      </c>
      <c r="F200" s="45">
        <f>V28+V75+V118+V161</f>
        <v>19415.542208000003</v>
      </c>
      <c r="G200" s="45">
        <f>W28+W75+W118+W161</f>
        <v>65566.265395199996</v>
      </c>
      <c r="H200" s="18">
        <f>SUM(C200:G200)</f>
        <v>90933.683131500002</v>
      </c>
    </row>
    <row r="201" spans="2:25" s="7" customFormat="1" ht="14" customHeight="1" x14ac:dyDescent="0.3">
      <c r="B201" s="10" t="s">
        <v>28</v>
      </c>
      <c r="C201" s="217">
        <f>S30+S77+S120+S163</f>
        <v>77568</v>
      </c>
      <c r="D201" s="217">
        <f>T30+T77+T120+T163</f>
        <v>638345.66076000012</v>
      </c>
      <c r="E201" s="217">
        <f>U30+U77+U120+U163</f>
        <v>3219474.1676544002</v>
      </c>
      <c r="F201" s="217">
        <f>V30+V77+V120+V163</f>
        <v>10065017.080627199</v>
      </c>
      <c r="G201" s="217">
        <f>W30+W77+W120+W163</f>
        <v>27191641.584697347</v>
      </c>
      <c r="H201" s="218">
        <f>SUM(C201:G201)</f>
        <v>41192046.493738949</v>
      </c>
      <c r="I201" s="10"/>
      <c r="J201" s="10"/>
      <c r="K201" s="10"/>
      <c r="L201" s="10"/>
      <c r="M201" s="10"/>
      <c r="N201" s="10"/>
      <c r="O201" s="10"/>
      <c r="S201" s="10"/>
      <c r="T201" s="10"/>
      <c r="U201" s="10"/>
      <c r="V201" s="10"/>
      <c r="W201" s="10"/>
      <c r="X201" s="10"/>
      <c r="Y201" s="10"/>
    </row>
    <row r="204" spans="2:25" ht="14" customHeight="1" x14ac:dyDescent="0.3">
      <c r="B204" s="10" t="s">
        <v>242</v>
      </c>
      <c r="C204" s="307"/>
      <c r="D204" s="307"/>
      <c r="E204" s="307"/>
      <c r="F204" s="307"/>
      <c r="G204" s="307"/>
      <c r="H204" s="307"/>
      <c r="I204" s="307"/>
      <c r="J204" s="307"/>
      <c r="K204" s="307"/>
      <c r="L204" s="307"/>
      <c r="M204" s="307"/>
      <c r="N204" s="307"/>
      <c r="O204" s="309"/>
    </row>
    <row r="205" spans="2:25" ht="14" customHeight="1" x14ac:dyDescent="0.3">
      <c r="B205" s="17"/>
      <c r="C205" s="367">
        <v>2019</v>
      </c>
      <c r="D205" s="367">
        <v>2020</v>
      </c>
      <c r="E205" s="367">
        <v>2021</v>
      </c>
      <c r="F205" s="367">
        <v>2022</v>
      </c>
      <c r="G205" s="367">
        <v>2023</v>
      </c>
      <c r="H205" s="367" t="s">
        <v>16</v>
      </c>
      <c r="I205" s="359"/>
      <c r="J205" s="359"/>
      <c r="K205" s="359"/>
      <c r="L205" s="359"/>
      <c r="M205" s="359"/>
      <c r="N205" s="359"/>
      <c r="O205" s="359"/>
    </row>
    <row r="206" spans="2:25" ht="14" customHeight="1" x14ac:dyDescent="0.3">
      <c r="B206" s="5" t="s">
        <v>249</v>
      </c>
      <c r="C206" s="366">
        <f>S35</f>
        <v>0</v>
      </c>
      <c r="D206" s="366">
        <f>SUM(T35,T82)</f>
        <v>1404.6196229899442</v>
      </c>
      <c r="E206" s="366">
        <f t="shared" ref="E206:G207" si="79">SUM(U35,U82,U125,U168)</f>
        <v>10438.948063702239</v>
      </c>
      <c r="F206" s="366">
        <f t="shared" si="79"/>
        <v>56253.401673332017</v>
      </c>
      <c r="G206" s="366">
        <f t="shared" si="79"/>
        <v>235721.52288199886</v>
      </c>
      <c r="H206" s="366">
        <f>G206</f>
        <v>235721.52288199886</v>
      </c>
      <c r="I206" s="360"/>
      <c r="J206" s="360"/>
      <c r="K206" s="360"/>
      <c r="L206" s="360"/>
      <c r="M206" s="360"/>
      <c r="N206" s="360"/>
      <c r="O206" s="361"/>
    </row>
    <row r="207" spans="2:25" ht="14" customHeight="1" x14ac:dyDescent="0.3">
      <c r="B207" s="5" t="s">
        <v>254</v>
      </c>
      <c r="C207" s="357">
        <f>S36</f>
        <v>0</v>
      </c>
      <c r="D207" s="357">
        <f>SUM(T36,T83)</f>
        <v>8094.7200000000012</v>
      </c>
      <c r="E207" s="357">
        <f t="shared" si="79"/>
        <v>81770.072651927621</v>
      </c>
      <c r="F207" s="357">
        <f t="shared" si="79"/>
        <v>514813.31363199803</v>
      </c>
      <c r="G207" s="357">
        <f t="shared" si="79"/>
        <v>2252663.9356147968</v>
      </c>
      <c r="H207" s="357">
        <f>SUM(C207:G207)</f>
        <v>2857342.0418987228</v>
      </c>
      <c r="I207" s="360"/>
      <c r="J207" s="360"/>
      <c r="K207" s="360"/>
      <c r="L207" s="360"/>
      <c r="M207" s="360"/>
      <c r="N207" s="360"/>
      <c r="O207" s="361"/>
    </row>
    <row r="208" spans="2:25" ht="14" customHeight="1" x14ac:dyDescent="0.3">
      <c r="B208" s="5" t="s">
        <v>240</v>
      </c>
      <c r="C208" s="369">
        <f>Assumptions!E71</f>
        <v>10</v>
      </c>
      <c r="D208" s="369">
        <f>(SUM(Assumptions!F71,Assumptions!F84)/2)</f>
        <v>10</v>
      </c>
      <c r="E208" s="369">
        <f>(SUM(Assumptions!G84,Assumptions!G71,Assumptions!G110,Assumptions!G97)/4)</f>
        <v>10</v>
      </c>
      <c r="F208" s="369">
        <f>(SUM(Assumptions!H84,Assumptions!H71,Assumptions!H110,Assumptions!H97)/4)</f>
        <v>10</v>
      </c>
      <c r="G208" s="369">
        <f>(SUM(Assumptions!I84,Assumptions!I71,Assumptions!I110,Assumptions!I97)/4)</f>
        <v>10</v>
      </c>
      <c r="H208" s="369">
        <v>0</v>
      </c>
      <c r="I208" s="362"/>
      <c r="J208" s="362"/>
      <c r="K208" s="362"/>
      <c r="L208" s="362"/>
      <c r="M208" s="362"/>
      <c r="N208" s="362"/>
      <c r="O208" s="363"/>
    </row>
    <row r="209" spans="2:15" ht="14" customHeight="1" x14ac:dyDescent="0.3">
      <c r="B209" s="10" t="s">
        <v>28</v>
      </c>
      <c r="C209" s="370">
        <f>C207*C208</f>
        <v>0</v>
      </c>
      <c r="D209" s="370">
        <f t="shared" ref="D209:G209" si="80">D207*D208</f>
        <v>80947.200000000012</v>
      </c>
      <c r="E209" s="370">
        <f t="shared" si="80"/>
        <v>817700.72651927616</v>
      </c>
      <c r="F209" s="370">
        <f t="shared" si="80"/>
        <v>5148133.13631998</v>
      </c>
      <c r="G209" s="370">
        <f t="shared" si="80"/>
        <v>22526639.356147967</v>
      </c>
      <c r="H209" s="370">
        <f>SUM(C209:G209)</f>
        <v>28573420.418987222</v>
      </c>
      <c r="I209" s="364"/>
      <c r="J209" s="364"/>
      <c r="K209" s="364"/>
      <c r="L209" s="364"/>
      <c r="M209" s="364"/>
      <c r="N209" s="364"/>
      <c r="O209" s="309"/>
    </row>
    <row r="210" spans="2:15" ht="14" customHeight="1" x14ac:dyDescent="0.3">
      <c r="I210" s="365"/>
      <c r="J210" s="365"/>
      <c r="K210" s="365"/>
      <c r="L210" s="365"/>
      <c r="M210" s="365"/>
      <c r="N210" s="365"/>
      <c r="O210" s="36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0AC8E-48FA-48F1-A606-14DFF5EEB006}">
  <dimension ref="B2:Z160"/>
  <sheetViews>
    <sheetView showGridLines="0" topLeftCell="A133" zoomScale="60" zoomScaleNormal="60" workbookViewId="0">
      <selection activeCell="F163" sqref="F163"/>
    </sheetView>
  </sheetViews>
  <sheetFormatPr baseColWidth="10" defaultColWidth="14.6328125" defaultRowHeight="14" customHeight="1" x14ac:dyDescent="0.3"/>
  <cols>
    <col min="1" max="1" width="9.36328125" style="3" customWidth="1"/>
    <col min="2" max="2" width="30" style="3" customWidth="1"/>
    <col min="3" max="7" width="14.6328125" style="8"/>
    <col min="8" max="8" width="16.1796875" style="8" bestFit="1" customWidth="1"/>
    <col min="9" max="15" width="14.6328125" style="8"/>
    <col min="16" max="17" width="14.6328125" style="3"/>
    <col min="18" max="18" width="23.08984375" style="3" customWidth="1"/>
    <col min="19" max="25" width="14.6328125" style="8"/>
    <col min="26" max="16384" width="14.6328125" style="3"/>
  </cols>
  <sheetData>
    <row r="2" spans="2:24" ht="20" customHeight="1" x14ac:dyDescent="0.4">
      <c r="B2" s="87" t="s">
        <v>48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4" spans="2:24" ht="14" customHeight="1" x14ac:dyDescent="0.3">
      <c r="B4" s="7" t="s">
        <v>160</v>
      </c>
      <c r="M4" s="1"/>
      <c r="N4" s="1"/>
      <c r="O4" s="1"/>
      <c r="P4" s="6"/>
      <c r="Q4" s="94"/>
      <c r="R4" s="7" t="s">
        <v>164</v>
      </c>
    </row>
    <row r="5" spans="2:24" ht="14" customHeight="1" x14ac:dyDescent="0.3">
      <c r="C5" s="82" t="s">
        <v>139</v>
      </c>
      <c r="D5" s="82" t="s">
        <v>140</v>
      </c>
      <c r="E5" s="82" t="s">
        <v>141</v>
      </c>
      <c r="F5" s="82" t="s">
        <v>142</v>
      </c>
      <c r="G5" s="82" t="s">
        <v>143</v>
      </c>
      <c r="H5" s="82" t="s">
        <v>144</v>
      </c>
      <c r="I5" s="82" t="s">
        <v>145</v>
      </c>
      <c r="J5" s="82" t="s">
        <v>146</v>
      </c>
      <c r="K5" s="82" t="s">
        <v>147</v>
      </c>
      <c r="L5" s="82" t="s">
        <v>148</v>
      </c>
      <c r="M5" s="82" t="s">
        <v>149</v>
      </c>
      <c r="N5" s="82" t="s">
        <v>150</v>
      </c>
      <c r="O5" s="82" t="s">
        <v>16</v>
      </c>
      <c r="P5" s="6"/>
      <c r="Q5" s="94"/>
      <c r="R5" s="20" t="s">
        <v>34</v>
      </c>
      <c r="S5" s="82">
        <v>2019</v>
      </c>
      <c r="T5" s="82">
        <v>2020</v>
      </c>
      <c r="U5" s="82">
        <v>2021</v>
      </c>
      <c r="V5" s="82">
        <v>2022</v>
      </c>
      <c r="W5" s="82">
        <v>2023</v>
      </c>
      <c r="X5" s="82" t="s">
        <v>16</v>
      </c>
    </row>
    <row r="6" spans="2:24" ht="14" customHeight="1" x14ac:dyDescent="0.3">
      <c r="B6" s="8" t="s">
        <v>26</v>
      </c>
      <c r="C6" s="175">
        <f>C22</f>
        <v>0</v>
      </c>
      <c r="D6" s="175">
        <f t="shared" ref="D6:N6" si="0">D22</f>
        <v>0</v>
      </c>
      <c r="E6" s="175">
        <f t="shared" si="0"/>
        <v>0</v>
      </c>
      <c r="F6" s="175">
        <f t="shared" si="0"/>
        <v>0</v>
      </c>
      <c r="G6" s="175">
        <f t="shared" si="0"/>
        <v>0</v>
      </c>
      <c r="H6" s="175">
        <f t="shared" si="0"/>
        <v>0</v>
      </c>
      <c r="I6" s="175">
        <f t="shared" si="0"/>
        <v>0</v>
      </c>
      <c r="J6" s="175">
        <f t="shared" si="0"/>
        <v>0</v>
      </c>
      <c r="K6" s="175">
        <f t="shared" si="0"/>
        <v>8209.8016000000007</v>
      </c>
      <c r="L6" s="175">
        <f t="shared" si="0"/>
        <v>9825.5168000000012</v>
      </c>
      <c r="M6" s="175">
        <f t="shared" si="0"/>
        <v>10981.942400000002</v>
      </c>
      <c r="N6" s="175">
        <f t="shared" si="0"/>
        <v>20684.4352</v>
      </c>
      <c r="O6" s="181">
        <f>SUM(C6:N6)</f>
        <v>49701.696000000004</v>
      </c>
      <c r="P6" s="4"/>
      <c r="Q6" s="95"/>
      <c r="R6" s="8" t="s">
        <v>26</v>
      </c>
      <c r="S6" s="14">
        <f>O22</f>
        <v>49701.696000000004</v>
      </c>
      <c r="T6" s="14">
        <f>T22</f>
        <v>220434.4032</v>
      </c>
      <c r="U6" s="14">
        <f>U22</f>
        <v>530879.52104000014</v>
      </c>
      <c r="V6" s="14">
        <f>V22</f>
        <v>1274110.8504960001</v>
      </c>
      <c r="W6" s="14">
        <f>W22</f>
        <v>3583436.7670200001</v>
      </c>
      <c r="X6" s="14">
        <f>SUM(S6:W6)</f>
        <v>5658563.2377560008</v>
      </c>
    </row>
    <row r="7" spans="2:24" ht="14" customHeight="1" x14ac:dyDescent="0.3">
      <c r="B7" s="8" t="s">
        <v>27</v>
      </c>
      <c r="C7" s="174">
        <f>C29</f>
        <v>0</v>
      </c>
      <c r="D7" s="174">
        <f t="shared" ref="D7:N7" si="1">D29</f>
        <v>0</v>
      </c>
      <c r="E7" s="174">
        <f t="shared" si="1"/>
        <v>0</v>
      </c>
      <c r="F7" s="174">
        <f t="shared" si="1"/>
        <v>0</v>
      </c>
      <c r="G7" s="174">
        <f t="shared" si="1"/>
        <v>0</v>
      </c>
      <c r="H7" s="174">
        <f t="shared" si="1"/>
        <v>0</v>
      </c>
      <c r="I7" s="174">
        <f t="shared" si="1"/>
        <v>0</v>
      </c>
      <c r="J7" s="174">
        <f t="shared" si="1"/>
        <v>0</v>
      </c>
      <c r="K7" s="174">
        <f t="shared" si="1"/>
        <v>7687.6800000000012</v>
      </c>
      <c r="L7" s="174">
        <f t="shared" si="1"/>
        <v>9200.6400000000012</v>
      </c>
      <c r="M7" s="174">
        <f t="shared" si="1"/>
        <v>10283.520000000002</v>
      </c>
      <c r="N7" s="174">
        <f t="shared" si="1"/>
        <v>19368.960000000003</v>
      </c>
      <c r="O7" s="174">
        <f>SUM(C7:N7)</f>
        <v>46540.800000000003</v>
      </c>
      <c r="P7" s="6"/>
      <c r="Q7" s="96"/>
      <c r="R7" s="8" t="s">
        <v>27</v>
      </c>
      <c r="S7" s="83">
        <f>O29</f>
        <v>46540.800000000003</v>
      </c>
      <c r="T7" s="83">
        <f>T29</f>
        <v>206415.36000000004</v>
      </c>
      <c r="U7" s="83">
        <f>U29</f>
        <v>497116.9920000002</v>
      </c>
      <c r="V7" s="83">
        <f>V29</f>
        <v>1193080.7808000003</v>
      </c>
      <c r="W7" s="83">
        <f>W29</f>
        <v>3355539.6960000009</v>
      </c>
      <c r="X7" s="83">
        <f>SUM(S7:W7)</f>
        <v>5298693.628800001</v>
      </c>
    </row>
    <row r="8" spans="2:24" ht="14" customHeight="1" x14ac:dyDescent="0.3">
      <c r="B8" s="10" t="s">
        <v>159</v>
      </c>
      <c r="C8" s="182">
        <f>SUM(C6:C7)</f>
        <v>0</v>
      </c>
      <c r="D8" s="182">
        <f t="shared" ref="D8:N8" si="2">SUM(D6:D7)</f>
        <v>0</v>
      </c>
      <c r="E8" s="182">
        <f t="shared" si="2"/>
        <v>0</v>
      </c>
      <c r="F8" s="182">
        <f t="shared" si="2"/>
        <v>0</v>
      </c>
      <c r="G8" s="182">
        <f t="shared" si="2"/>
        <v>0</v>
      </c>
      <c r="H8" s="182">
        <f t="shared" si="2"/>
        <v>0</v>
      </c>
      <c r="I8" s="182">
        <f t="shared" si="2"/>
        <v>0</v>
      </c>
      <c r="J8" s="182">
        <f t="shared" si="2"/>
        <v>0</v>
      </c>
      <c r="K8" s="182">
        <f t="shared" si="2"/>
        <v>15897.481600000003</v>
      </c>
      <c r="L8" s="182">
        <f t="shared" si="2"/>
        <v>19026.156800000004</v>
      </c>
      <c r="M8" s="182">
        <f t="shared" si="2"/>
        <v>21265.462400000004</v>
      </c>
      <c r="N8" s="182">
        <f t="shared" si="2"/>
        <v>40053.395199999999</v>
      </c>
      <c r="O8" s="183">
        <f>SUM(C8:N8)</f>
        <v>96242.496000000014</v>
      </c>
      <c r="P8" s="11"/>
      <c r="Q8" s="96"/>
      <c r="R8" s="10" t="s">
        <v>159</v>
      </c>
      <c r="S8" s="85">
        <f>SUM(S6:S7)</f>
        <v>96242.496000000014</v>
      </c>
      <c r="T8" s="85">
        <f>SUM(T6:T7)</f>
        <v>426849.76320000004</v>
      </c>
      <c r="U8" s="85">
        <f>SUM(U6:U7)</f>
        <v>1027996.5130400003</v>
      </c>
      <c r="V8" s="85">
        <f>SUM(V6:V7)</f>
        <v>2467191.6312960004</v>
      </c>
      <c r="W8" s="85">
        <f>SUM(W6:W7)</f>
        <v>6938976.4630200006</v>
      </c>
      <c r="X8" s="86">
        <f>SUM(S8:W8)</f>
        <v>10957256.866556002</v>
      </c>
    </row>
    <row r="9" spans="2:24" ht="14" customHeight="1" x14ac:dyDescent="0.3">
      <c r="B9" s="6"/>
      <c r="C9" s="41"/>
      <c r="D9" s="41"/>
      <c r="E9" s="41"/>
      <c r="F9" s="41"/>
      <c r="G9" s="41"/>
      <c r="H9" s="1"/>
      <c r="I9" s="1"/>
      <c r="J9" s="1"/>
      <c r="K9" s="1"/>
      <c r="L9" s="1"/>
      <c r="M9" s="1"/>
      <c r="N9" s="1"/>
      <c r="O9" s="1"/>
      <c r="P9" s="6"/>
      <c r="Q9" s="94"/>
      <c r="R9" s="6"/>
      <c r="S9" s="1"/>
      <c r="T9" s="1"/>
      <c r="U9" s="1"/>
      <c r="V9" s="1"/>
      <c r="W9" s="1"/>
      <c r="X9" s="1"/>
    </row>
    <row r="10" spans="2:24" ht="14" customHeight="1" x14ac:dyDescent="0.3">
      <c r="C10" s="42"/>
      <c r="D10" s="42"/>
      <c r="E10" s="42"/>
      <c r="F10" s="42"/>
      <c r="G10" s="42"/>
      <c r="Q10" s="97"/>
    </row>
    <row r="11" spans="2:24" ht="14" customHeight="1" x14ac:dyDescent="0.3">
      <c r="C11" s="42"/>
      <c r="D11" s="42"/>
      <c r="E11" s="42"/>
      <c r="F11" s="42"/>
      <c r="G11" s="42"/>
      <c r="Q11" s="97"/>
    </row>
    <row r="12" spans="2:24" ht="14" customHeight="1" x14ac:dyDescent="0.3">
      <c r="Q12" s="97"/>
      <c r="R12" s="6"/>
      <c r="S12" s="1"/>
      <c r="T12" s="1"/>
      <c r="U12" s="1"/>
    </row>
    <row r="13" spans="2:24" ht="14" customHeight="1" x14ac:dyDescent="0.3">
      <c r="B13" s="7" t="s">
        <v>169</v>
      </c>
      <c r="Q13" s="97"/>
      <c r="R13" s="7" t="s">
        <v>165</v>
      </c>
      <c r="T13" s="117"/>
      <c r="U13" s="117"/>
      <c r="V13" s="117"/>
      <c r="W13" s="117"/>
    </row>
    <row r="14" spans="2:24" ht="14" customHeight="1" x14ac:dyDescent="0.3">
      <c r="B14" s="12"/>
      <c r="C14" s="82" t="s">
        <v>139</v>
      </c>
      <c r="D14" s="82" t="s">
        <v>140</v>
      </c>
      <c r="E14" s="82" t="s">
        <v>141</v>
      </c>
      <c r="F14" s="82" t="s">
        <v>142</v>
      </c>
      <c r="G14" s="82" t="s">
        <v>143</v>
      </c>
      <c r="H14" s="82" t="s">
        <v>144</v>
      </c>
      <c r="I14" s="82" t="s">
        <v>145</v>
      </c>
      <c r="J14" s="82" t="s">
        <v>146</v>
      </c>
      <c r="K14" s="82" t="s">
        <v>147</v>
      </c>
      <c r="L14" s="82" t="s">
        <v>148</v>
      </c>
      <c r="M14" s="82" t="s">
        <v>149</v>
      </c>
      <c r="N14" s="82" t="s">
        <v>150</v>
      </c>
      <c r="O14" s="82" t="s">
        <v>16</v>
      </c>
      <c r="P14" s="4"/>
      <c r="Q14" s="97"/>
      <c r="R14" s="12"/>
      <c r="S14" s="82">
        <v>2019</v>
      </c>
      <c r="T14" s="82">
        <v>2020</v>
      </c>
      <c r="U14" s="82">
        <v>2021</v>
      </c>
      <c r="V14" s="82">
        <v>2022</v>
      </c>
      <c r="W14" s="82">
        <v>2023</v>
      </c>
      <c r="X14" s="82" t="s">
        <v>16</v>
      </c>
    </row>
    <row r="15" spans="2:24" ht="14" customHeight="1" x14ac:dyDescent="0.3">
      <c r="B15" s="10" t="s">
        <v>123</v>
      </c>
      <c r="C15" s="13">
        <f>Assumptions!$E$63*'Cost of Sales'!C21</f>
        <v>0</v>
      </c>
      <c r="D15" s="13">
        <f>Assumptions!$E$63*'Cost of Sales'!D21</f>
        <v>0</v>
      </c>
      <c r="E15" s="13">
        <f>Assumptions!$E$63*'Cost of Sales'!E21</f>
        <v>0</v>
      </c>
      <c r="F15" s="13">
        <f>Assumptions!$E$63*'Cost of Sales'!F21</f>
        <v>0</v>
      </c>
      <c r="G15" s="13">
        <f>Assumptions!$E$63*'Cost of Sales'!G21</f>
        <v>0</v>
      </c>
      <c r="H15" s="13">
        <f>Assumptions!$E$63*'Cost of Sales'!H21</f>
        <v>0</v>
      </c>
      <c r="I15" s="13">
        <f>Assumptions!$E$63*'Cost of Sales'!I21</f>
        <v>0</v>
      </c>
      <c r="J15" s="13">
        <f>Assumptions!$E$63*'Cost of Sales'!J21</f>
        <v>0</v>
      </c>
      <c r="K15" s="13">
        <f>Assumptions!$E$63*'Cost of Sales'!K21</f>
        <v>9.6096000000000004</v>
      </c>
      <c r="L15" s="13">
        <f>Assumptions!$E$63*'Cost of Sales'!L21</f>
        <v>11.500800000000002</v>
      </c>
      <c r="M15" s="13">
        <f>Assumptions!$E$63*'Cost of Sales'!M21</f>
        <v>12.854400000000002</v>
      </c>
      <c r="N15" s="13">
        <f>Assumptions!$E$63*'Cost of Sales'!N21</f>
        <v>24.211200000000002</v>
      </c>
      <c r="O15" s="13">
        <f>SUM(C15:N15)</f>
        <v>58.176000000000002</v>
      </c>
      <c r="Q15" s="97"/>
      <c r="R15" s="10" t="s">
        <v>123</v>
      </c>
      <c r="S15" s="171">
        <f>O15</f>
        <v>58.176000000000002</v>
      </c>
      <c r="T15" s="171">
        <f>Assumptions!F76*'Cost of Sales'!T21</f>
        <v>303.55200000000002</v>
      </c>
      <c r="U15" s="171">
        <f>Assumptions!G76*'Cost of Sales'!U21</f>
        <v>860.06400000000031</v>
      </c>
      <c r="V15" s="171">
        <f>Assumptions!H76*'Cost of Sales'!V21</f>
        <v>2752.2048000000004</v>
      </c>
      <c r="W15" s="171">
        <f>Assumptions!I76*'Cost of Sales'!W21</f>
        <v>10320.768000000002</v>
      </c>
      <c r="X15" s="171">
        <f t="shared" ref="X15:X22" si="3">SUM(S15:W15)</f>
        <v>14294.764800000003</v>
      </c>
    </row>
    <row r="16" spans="2:24" ht="14" customHeight="1" x14ac:dyDescent="0.3">
      <c r="B16" s="8" t="s">
        <v>36</v>
      </c>
      <c r="C16" s="174">
        <f>Assumptions!$N$66</f>
        <v>561</v>
      </c>
      <c r="D16" s="174">
        <f>Assumptions!$N$66</f>
        <v>561</v>
      </c>
      <c r="E16" s="174">
        <f>Assumptions!$N$66</f>
        <v>561</v>
      </c>
      <c r="F16" s="174">
        <f>Assumptions!$N$66</f>
        <v>561</v>
      </c>
      <c r="G16" s="174">
        <f>Assumptions!$N$66</f>
        <v>561</v>
      </c>
      <c r="H16" s="174">
        <f>Assumptions!$N$66</f>
        <v>561</v>
      </c>
      <c r="I16" s="174">
        <f>Assumptions!$N$66</f>
        <v>561</v>
      </c>
      <c r="J16" s="174">
        <f>Assumptions!$N$66</f>
        <v>561</v>
      </c>
      <c r="K16" s="174">
        <f>Assumptions!$N$66</f>
        <v>561</v>
      </c>
      <c r="L16" s="174">
        <f>Assumptions!$N$66</f>
        <v>561</v>
      </c>
      <c r="M16" s="174">
        <f>Assumptions!$N$66</f>
        <v>561</v>
      </c>
      <c r="N16" s="174">
        <f>Assumptions!$N$66</f>
        <v>561</v>
      </c>
      <c r="O16" s="174"/>
      <c r="Q16" s="97"/>
      <c r="R16" s="8" t="s">
        <v>36</v>
      </c>
      <c r="S16" s="176">
        <f>Assumptions!N66</f>
        <v>561</v>
      </c>
      <c r="T16" s="176">
        <f>Assumptions!O66</f>
        <v>476.84999999999997</v>
      </c>
      <c r="U16" s="176">
        <f>Assumptions!P66</f>
        <v>405.32249999999993</v>
      </c>
      <c r="V16" s="176">
        <f>Assumptions!Q66</f>
        <v>303.99187499999994</v>
      </c>
      <c r="W16" s="176">
        <f>Assumptions!R66</f>
        <v>227.99390624999995</v>
      </c>
      <c r="X16" s="176"/>
    </row>
    <row r="17" spans="2:24" ht="14" customHeight="1" x14ac:dyDescent="0.3">
      <c r="B17" s="8" t="s">
        <v>161</v>
      </c>
      <c r="C17" s="175">
        <f>C15*C16</f>
        <v>0</v>
      </c>
      <c r="D17" s="175">
        <f t="shared" ref="D17:N17" si="4">D15*D16</f>
        <v>0</v>
      </c>
      <c r="E17" s="175">
        <f t="shared" si="4"/>
        <v>0</v>
      </c>
      <c r="F17" s="175">
        <f t="shared" si="4"/>
        <v>0</v>
      </c>
      <c r="G17" s="175">
        <f t="shared" si="4"/>
        <v>0</v>
      </c>
      <c r="H17" s="175">
        <f t="shared" si="4"/>
        <v>0</v>
      </c>
      <c r="I17" s="175">
        <f t="shared" si="4"/>
        <v>0</v>
      </c>
      <c r="J17" s="175">
        <f t="shared" si="4"/>
        <v>0</v>
      </c>
      <c r="K17" s="175">
        <f t="shared" si="4"/>
        <v>5390.9856</v>
      </c>
      <c r="L17" s="175">
        <f t="shared" si="4"/>
        <v>6451.948800000001</v>
      </c>
      <c r="M17" s="175">
        <f t="shared" si="4"/>
        <v>7211.318400000001</v>
      </c>
      <c r="N17" s="175">
        <f t="shared" si="4"/>
        <v>13582.483200000001</v>
      </c>
      <c r="O17" s="175">
        <f>SUM(C17:N17)</f>
        <v>32636.736000000004</v>
      </c>
      <c r="Q17" s="97"/>
      <c r="R17" s="8" t="s">
        <v>161</v>
      </c>
      <c r="S17" s="170">
        <f>S15*S16</f>
        <v>32636.736000000001</v>
      </c>
      <c r="T17" s="170">
        <f>T15*T16</f>
        <v>144748.77119999999</v>
      </c>
      <c r="U17" s="170">
        <f>U15*U16</f>
        <v>348603.29064000008</v>
      </c>
      <c r="V17" s="170">
        <f>V15*V16</f>
        <v>836647.897536</v>
      </c>
      <c r="W17" s="170">
        <f>W15*W16</f>
        <v>2353072.2118199999</v>
      </c>
      <c r="X17" s="170">
        <f t="shared" si="3"/>
        <v>3715708.9071960002</v>
      </c>
    </row>
    <row r="18" spans="2:24" ht="14" customHeight="1" x14ac:dyDescent="0.3">
      <c r="B18" s="10" t="s">
        <v>124</v>
      </c>
      <c r="C18" s="84">
        <f>Assumptions!$E$64*'Cost of Sales'!C21</f>
        <v>0</v>
      </c>
      <c r="D18" s="84">
        <f>Assumptions!$E$64*'Cost of Sales'!D21</f>
        <v>0</v>
      </c>
      <c r="E18" s="84">
        <f>Assumptions!$E$64*'Cost of Sales'!E21</f>
        <v>0</v>
      </c>
      <c r="F18" s="84">
        <f>Assumptions!$E$64*'Cost of Sales'!F21</f>
        <v>0</v>
      </c>
      <c r="G18" s="84">
        <f>Assumptions!$E$64*'Cost of Sales'!G21</f>
        <v>0</v>
      </c>
      <c r="H18" s="84">
        <f>Assumptions!$E$64*'Cost of Sales'!H21</f>
        <v>0</v>
      </c>
      <c r="I18" s="84">
        <f>Assumptions!$E$64*'Cost of Sales'!I21</f>
        <v>0</v>
      </c>
      <c r="J18" s="84">
        <f>Assumptions!$E$64*'Cost of Sales'!J21</f>
        <v>0</v>
      </c>
      <c r="K18" s="84">
        <f>Assumptions!$E$64*'Cost of Sales'!K21</f>
        <v>6.4064000000000014</v>
      </c>
      <c r="L18" s="84">
        <f>Assumptions!$E$64*'Cost of Sales'!L21</f>
        <v>7.6672000000000011</v>
      </c>
      <c r="M18" s="84">
        <f>Assumptions!$E$64*'Cost of Sales'!M21</f>
        <v>8.5696000000000012</v>
      </c>
      <c r="N18" s="84">
        <f>Assumptions!$E$64*'Cost of Sales'!N21</f>
        <v>16.140800000000002</v>
      </c>
      <c r="O18" s="84">
        <f>SUM(C18:N18)</f>
        <v>38.784000000000006</v>
      </c>
      <c r="P18" s="8"/>
      <c r="Q18" s="98"/>
      <c r="R18" s="10" t="s">
        <v>124</v>
      </c>
      <c r="S18" s="173">
        <f>O18</f>
        <v>38.784000000000006</v>
      </c>
      <c r="T18" s="173">
        <f>Assumptions!F77*'Cost of Sales'!T21</f>
        <v>202.36800000000005</v>
      </c>
      <c r="U18" s="173">
        <f>Assumptions!G77*'Cost of Sales'!U21</f>
        <v>573.3760000000002</v>
      </c>
      <c r="V18" s="173">
        <f>Assumptions!H77*'Cost of Sales'!V21</f>
        <v>1834.8032000000003</v>
      </c>
      <c r="W18" s="173">
        <f>Assumptions!I77*'Cost of Sales'!W21</f>
        <v>6880.5120000000015</v>
      </c>
      <c r="X18" s="173">
        <f t="shared" si="3"/>
        <v>9529.843200000003</v>
      </c>
    </row>
    <row r="19" spans="2:24" ht="14" customHeight="1" x14ac:dyDescent="0.3">
      <c r="B19" s="8" t="s">
        <v>36</v>
      </c>
      <c r="C19" s="175">
        <f>Assumptions!$N$67</f>
        <v>440</v>
      </c>
      <c r="D19" s="175">
        <f>Assumptions!$N$67</f>
        <v>440</v>
      </c>
      <c r="E19" s="175">
        <f>Assumptions!$N$67</f>
        <v>440</v>
      </c>
      <c r="F19" s="175">
        <f>Assumptions!$N$67</f>
        <v>440</v>
      </c>
      <c r="G19" s="175">
        <f>Assumptions!$N$67</f>
        <v>440</v>
      </c>
      <c r="H19" s="175">
        <f>Assumptions!$N$67</f>
        <v>440</v>
      </c>
      <c r="I19" s="175">
        <f>Assumptions!$N$67</f>
        <v>440</v>
      </c>
      <c r="J19" s="175">
        <f>Assumptions!$N$67</f>
        <v>440</v>
      </c>
      <c r="K19" s="175">
        <f>Assumptions!$N$67</f>
        <v>440</v>
      </c>
      <c r="L19" s="175">
        <f>Assumptions!$N$67</f>
        <v>440</v>
      </c>
      <c r="M19" s="175">
        <f>Assumptions!$N$67</f>
        <v>440</v>
      </c>
      <c r="N19" s="175">
        <f>Assumptions!$N$67</f>
        <v>440</v>
      </c>
      <c r="O19" s="175"/>
      <c r="P19" s="8"/>
      <c r="Q19" s="98"/>
      <c r="R19" s="8" t="s">
        <v>36</v>
      </c>
      <c r="S19" s="170">
        <f>Assumptions!N67</f>
        <v>440</v>
      </c>
      <c r="T19" s="170">
        <f>Assumptions!O67</f>
        <v>374</v>
      </c>
      <c r="U19" s="170">
        <f>Assumptions!P67</f>
        <v>317.89999999999998</v>
      </c>
      <c r="V19" s="170">
        <f>Assumptions!Q67</f>
        <v>238.42499999999998</v>
      </c>
      <c r="W19" s="170">
        <f>Assumptions!R67</f>
        <v>178.81874999999999</v>
      </c>
      <c r="X19" s="170"/>
    </row>
    <row r="20" spans="2:24" ht="14" customHeight="1" x14ac:dyDescent="0.3">
      <c r="B20" s="8" t="s">
        <v>162</v>
      </c>
      <c r="C20" s="174">
        <f>C18*C19</f>
        <v>0</v>
      </c>
      <c r="D20" s="174">
        <f t="shared" ref="D20:N20" si="5">D18*D19</f>
        <v>0</v>
      </c>
      <c r="E20" s="174">
        <f t="shared" si="5"/>
        <v>0</v>
      </c>
      <c r="F20" s="174">
        <f t="shared" si="5"/>
        <v>0</v>
      </c>
      <c r="G20" s="174">
        <f t="shared" si="5"/>
        <v>0</v>
      </c>
      <c r="H20" s="174">
        <f t="shared" si="5"/>
        <v>0</v>
      </c>
      <c r="I20" s="174">
        <f t="shared" si="5"/>
        <v>0</v>
      </c>
      <c r="J20" s="174">
        <f t="shared" si="5"/>
        <v>0</v>
      </c>
      <c r="K20" s="174">
        <f t="shared" si="5"/>
        <v>2818.8160000000007</v>
      </c>
      <c r="L20" s="174">
        <f t="shared" si="5"/>
        <v>3373.5680000000007</v>
      </c>
      <c r="M20" s="174">
        <f t="shared" si="5"/>
        <v>3770.6240000000007</v>
      </c>
      <c r="N20" s="174">
        <f t="shared" si="5"/>
        <v>7101.9520000000011</v>
      </c>
      <c r="O20" s="174"/>
      <c r="P20" s="8"/>
      <c r="Q20" s="98"/>
      <c r="R20" s="8" t="s">
        <v>162</v>
      </c>
      <c r="S20" s="176">
        <f>S18*S19</f>
        <v>17064.960000000003</v>
      </c>
      <c r="T20" s="176">
        <f>T18*T19</f>
        <v>75685.632000000012</v>
      </c>
      <c r="U20" s="176">
        <f>U18*U19</f>
        <v>182276.23040000006</v>
      </c>
      <c r="V20" s="176">
        <f>V18*V19</f>
        <v>437462.95296000002</v>
      </c>
      <c r="W20" s="176">
        <f>W18*W19</f>
        <v>1230364.5552000003</v>
      </c>
      <c r="X20" s="176">
        <f t="shared" si="3"/>
        <v>1942854.3305600004</v>
      </c>
    </row>
    <row r="21" spans="2:24" ht="14" customHeight="1" x14ac:dyDescent="0.3">
      <c r="B21" s="10" t="s">
        <v>152</v>
      </c>
      <c r="C21" s="16">
        <f>'Forecast Sold Cars'!C17</f>
        <v>0</v>
      </c>
      <c r="D21" s="16">
        <f>'Forecast Sold Cars'!D17</f>
        <v>0</v>
      </c>
      <c r="E21" s="16">
        <f>'Forecast Sold Cars'!E17</f>
        <v>0</v>
      </c>
      <c r="F21" s="16">
        <f>'Forecast Sold Cars'!F17</f>
        <v>0</v>
      </c>
      <c r="G21" s="16">
        <f>'Forecast Sold Cars'!G17</f>
        <v>0</v>
      </c>
      <c r="H21" s="16">
        <f>'Forecast Sold Cars'!H17</f>
        <v>0</v>
      </c>
      <c r="I21" s="16">
        <f>'Forecast Sold Cars'!I17</f>
        <v>0</v>
      </c>
      <c r="J21" s="16">
        <f>'Forecast Sold Cars'!J17</f>
        <v>0</v>
      </c>
      <c r="K21" s="16">
        <f>'Forecast Sold Cars'!K17</f>
        <v>16.016000000000002</v>
      </c>
      <c r="L21" s="16">
        <f>'Forecast Sold Cars'!L17</f>
        <v>19.168000000000003</v>
      </c>
      <c r="M21" s="16">
        <f>'Forecast Sold Cars'!M17</f>
        <v>21.424000000000003</v>
      </c>
      <c r="N21" s="16">
        <f>'Forecast Sold Cars'!N17</f>
        <v>40.352000000000004</v>
      </c>
      <c r="O21" s="13">
        <f>SUM(C21:N21)</f>
        <v>96.960000000000008</v>
      </c>
      <c r="P21" s="15"/>
      <c r="Q21" s="99"/>
      <c r="R21" s="10" t="s">
        <v>152</v>
      </c>
      <c r="S21" s="16">
        <f>O21</f>
        <v>96.960000000000008</v>
      </c>
      <c r="T21" s="16">
        <f>'Forecast Sold Cars'!D26</f>
        <v>505.92000000000007</v>
      </c>
      <c r="U21" s="16">
        <f>'Forecast Sold Cars'!E26</f>
        <v>1433.4400000000005</v>
      </c>
      <c r="V21" s="16">
        <f>'Forecast Sold Cars'!F26</f>
        <v>4587.0080000000007</v>
      </c>
      <c r="W21" s="16">
        <f>'Forecast Sold Cars'!G26</f>
        <v>17201.280000000002</v>
      </c>
      <c r="X21" s="172">
        <f t="shared" si="3"/>
        <v>23824.608000000004</v>
      </c>
    </row>
    <row r="22" spans="2:24" ht="14" customHeight="1" x14ac:dyDescent="0.3">
      <c r="B22" s="10" t="s">
        <v>159</v>
      </c>
      <c r="C22" s="184">
        <f>SUM(C17,C20)</f>
        <v>0</v>
      </c>
      <c r="D22" s="184">
        <f t="shared" ref="D22:N22" si="6">SUM(D17,D20)</f>
        <v>0</v>
      </c>
      <c r="E22" s="184">
        <f t="shared" si="6"/>
        <v>0</v>
      </c>
      <c r="F22" s="184">
        <f t="shared" si="6"/>
        <v>0</v>
      </c>
      <c r="G22" s="184">
        <f t="shared" si="6"/>
        <v>0</v>
      </c>
      <c r="H22" s="184">
        <f t="shared" si="6"/>
        <v>0</v>
      </c>
      <c r="I22" s="184">
        <f t="shared" si="6"/>
        <v>0</v>
      </c>
      <c r="J22" s="184">
        <f t="shared" si="6"/>
        <v>0</v>
      </c>
      <c r="K22" s="184">
        <f t="shared" si="6"/>
        <v>8209.8016000000007</v>
      </c>
      <c r="L22" s="184">
        <f t="shared" si="6"/>
        <v>9825.5168000000012</v>
      </c>
      <c r="M22" s="184">
        <f t="shared" si="6"/>
        <v>10981.942400000002</v>
      </c>
      <c r="N22" s="184">
        <f t="shared" si="6"/>
        <v>20684.4352</v>
      </c>
      <c r="O22" s="185">
        <f>SUM(C22:N22)</f>
        <v>49701.696000000004</v>
      </c>
      <c r="Q22" s="97"/>
      <c r="R22" s="10" t="s">
        <v>159</v>
      </c>
      <c r="S22" s="177">
        <f>SUM(S17,S20)</f>
        <v>49701.696000000004</v>
      </c>
      <c r="T22" s="177">
        <f>SUM(T17,T20)</f>
        <v>220434.4032</v>
      </c>
      <c r="U22" s="177">
        <f>SUM(U17,U20)</f>
        <v>530879.52104000014</v>
      </c>
      <c r="V22" s="177">
        <f>SUM(V17,V20)</f>
        <v>1274110.8504960001</v>
      </c>
      <c r="W22" s="177">
        <f>SUM(W17,W20)</f>
        <v>3583436.7670200001</v>
      </c>
      <c r="X22" s="178">
        <f t="shared" si="3"/>
        <v>5658563.2377560008</v>
      </c>
    </row>
    <row r="23" spans="2:24" ht="14" customHeight="1" x14ac:dyDescent="0.3"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Q23" s="97"/>
      <c r="S23" s="43"/>
      <c r="T23" s="43"/>
      <c r="U23" s="43"/>
      <c r="V23" s="43"/>
      <c r="W23" s="43"/>
    </row>
    <row r="24" spans="2:24" ht="14" customHeight="1" x14ac:dyDescent="0.3">
      <c r="B24" s="7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Q24" s="97"/>
      <c r="R24" s="7"/>
      <c r="S24" s="44"/>
      <c r="T24" s="44"/>
      <c r="U24" s="44"/>
      <c r="V24" s="44"/>
      <c r="W24" s="44"/>
    </row>
    <row r="25" spans="2:24" ht="14" customHeight="1" x14ac:dyDescent="0.3">
      <c r="B25" s="7" t="s">
        <v>163</v>
      </c>
      <c r="Q25" s="97"/>
      <c r="R25" s="7" t="s">
        <v>166</v>
      </c>
      <c r="T25" s="117"/>
      <c r="U25" s="117"/>
      <c r="V25" s="117"/>
      <c r="W25" s="117"/>
    </row>
    <row r="26" spans="2:24" ht="14" customHeight="1" x14ac:dyDescent="0.3">
      <c r="B26" s="17"/>
      <c r="C26" s="82" t="s">
        <v>139</v>
      </c>
      <c r="D26" s="82" t="s">
        <v>140</v>
      </c>
      <c r="E26" s="82" t="s">
        <v>141</v>
      </c>
      <c r="F26" s="82" t="s">
        <v>142</v>
      </c>
      <c r="G26" s="82" t="s">
        <v>143</v>
      </c>
      <c r="H26" s="82" t="s">
        <v>144</v>
      </c>
      <c r="I26" s="82" t="s">
        <v>145</v>
      </c>
      <c r="J26" s="82" t="s">
        <v>146</v>
      </c>
      <c r="K26" s="82" t="s">
        <v>147</v>
      </c>
      <c r="L26" s="82" t="s">
        <v>148</v>
      </c>
      <c r="M26" s="82" t="s">
        <v>149</v>
      </c>
      <c r="N26" s="82" t="s">
        <v>150</v>
      </c>
      <c r="O26" s="82" t="s">
        <v>16</v>
      </c>
      <c r="P26" s="5"/>
      <c r="Q26" s="100"/>
      <c r="R26" s="17"/>
      <c r="S26" s="82">
        <v>2019</v>
      </c>
      <c r="T26" s="82">
        <v>2020</v>
      </c>
      <c r="U26" s="82">
        <v>2021</v>
      </c>
      <c r="V26" s="82">
        <v>2022</v>
      </c>
      <c r="W26" s="82">
        <v>2023</v>
      </c>
      <c r="X26" s="82" t="s">
        <v>16</v>
      </c>
    </row>
    <row r="27" spans="2:24" ht="14" customHeight="1" x14ac:dyDescent="0.3">
      <c r="B27" s="8" t="s">
        <v>27</v>
      </c>
      <c r="C27" s="45">
        <f t="shared" ref="C27:H27" si="7">C21</f>
        <v>0</v>
      </c>
      <c r="D27" s="45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ref="I27:N27" si="8">I21</f>
        <v>0</v>
      </c>
      <c r="J27" s="45">
        <f t="shared" si="8"/>
        <v>0</v>
      </c>
      <c r="K27" s="45">
        <f t="shared" si="8"/>
        <v>16.016000000000002</v>
      </c>
      <c r="L27" s="45">
        <f t="shared" si="8"/>
        <v>19.168000000000003</v>
      </c>
      <c r="M27" s="45">
        <f t="shared" si="8"/>
        <v>21.424000000000003</v>
      </c>
      <c r="N27" s="45">
        <f t="shared" si="8"/>
        <v>40.352000000000004</v>
      </c>
      <c r="O27" s="18">
        <f>SUM(C27:N27)</f>
        <v>96.960000000000008</v>
      </c>
      <c r="P27" s="5"/>
      <c r="Q27" s="100"/>
      <c r="R27" s="8" t="s">
        <v>27</v>
      </c>
      <c r="S27" s="45">
        <f>S21</f>
        <v>96.960000000000008</v>
      </c>
      <c r="T27" s="45">
        <f>T21</f>
        <v>505.92000000000007</v>
      </c>
      <c r="U27" s="45">
        <f>U21</f>
        <v>1433.4400000000005</v>
      </c>
      <c r="V27" s="45">
        <f>V21</f>
        <v>4587.0080000000007</v>
      </c>
      <c r="W27" s="45">
        <f>W21</f>
        <v>17201.280000000002</v>
      </c>
      <c r="X27" s="18">
        <f>SUM(S27:W27)</f>
        <v>23824.608000000004</v>
      </c>
    </row>
    <row r="28" spans="2:24" ht="14" customHeight="1" x14ac:dyDescent="0.3">
      <c r="B28" s="8" t="s">
        <v>37</v>
      </c>
      <c r="C28" s="179">
        <f>Assumptions!$N$68</f>
        <v>480</v>
      </c>
      <c r="D28" s="179">
        <f>Assumptions!$N$68</f>
        <v>480</v>
      </c>
      <c r="E28" s="179">
        <f>Assumptions!$N$68</f>
        <v>480</v>
      </c>
      <c r="F28" s="179">
        <f>Assumptions!$N$68</f>
        <v>480</v>
      </c>
      <c r="G28" s="179">
        <f>Assumptions!$N$68</f>
        <v>480</v>
      </c>
      <c r="H28" s="179">
        <f>Assumptions!$N$68</f>
        <v>480</v>
      </c>
      <c r="I28" s="179">
        <f>Assumptions!$N$68</f>
        <v>480</v>
      </c>
      <c r="J28" s="179">
        <f>Assumptions!$N$68</f>
        <v>480</v>
      </c>
      <c r="K28" s="179">
        <f>Assumptions!$N$68</f>
        <v>480</v>
      </c>
      <c r="L28" s="179">
        <f>Assumptions!$N$68</f>
        <v>480</v>
      </c>
      <c r="M28" s="179">
        <f>Assumptions!$N$68</f>
        <v>480</v>
      </c>
      <c r="N28" s="179">
        <f>Assumptions!$N$68</f>
        <v>480</v>
      </c>
      <c r="O28" s="176"/>
      <c r="P28" s="5"/>
      <c r="Q28" s="100"/>
      <c r="R28" s="8" t="s">
        <v>37</v>
      </c>
      <c r="S28" s="179">
        <f>Assumptions!N68</f>
        <v>480</v>
      </c>
      <c r="T28" s="179">
        <f>Assumptions!O68</f>
        <v>408</v>
      </c>
      <c r="U28" s="179">
        <f>Assumptions!P68</f>
        <v>346.8</v>
      </c>
      <c r="V28" s="179">
        <f>Assumptions!Q68</f>
        <v>260.10000000000002</v>
      </c>
      <c r="W28" s="179">
        <f>Assumptions!R68</f>
        <v>195.07500000000002</v>
      </c>
      <c r="X28" s="176"/>
    </row>
    <row r="29" spans="2:24" ht="14" customHeight="1" x14ac:dyDescent="0.3">
      <c r="B29" s="10" t="s">
        <v>159</v>
      </c>
      <c r="C29" s="180">
        <f t="shared" ref="C29:N29" si="9">C28*C27</f>
        <v>0</v>
      </c>
      <c r="D29" s="180">
        <f t="shared" si="9"/>
        <v>0</v>
      </c>
      <c r="E29" s="180">
        <f t="shared" si="9"/>
        <v>0</v>
      </c>
      <c r="F29" s="180">
        <f t="shared" si="9"/>
        <v>0</v>
      </c>
      <c r="G29" s="180">
        <f t="shared" si="9"/>
        <v>0</v>
      </c>
      <c r="H29" s="180">
        <f t="shared" si="9"/>
        <v>0</v>
      </c>
      <c r="I29" s="180">
        <f t="shared" si="9"/>
        <v>0</v>
      </c>
      <c r="J29" s="180">
        <f t="shared" si="9"/>
        <v>0</v>
      </c>
      <c r="K29" s="180">
        <f t="shared" si="9"/>
        <v>7687.6800000000012</v>
      </c>
      <c r="L29" s="180">
        <f t="shared" si="9"/>
        <v>9200.6400000000012</v>
      </c>
      <c r="M29" s="180">
        <f t="shared" si="9"/>
        <v>10283.520000000002</v>
      </c>
      <c r="N29" s="180">
        <f t="shared" si="9"/>
        <v>19368.960000000003</v>
      </c>
      <c r="O29" s="178">
        <f>SUM(C29:N29)</f>
        <v>46540.800000000003</v>
      </c>
      <c r="P29" s="5"/>
      <c r="Q29" s="100"/>
      <c r="R29" s="10" t="s">
        <v>159</v>
      </c>
      <c r="S29" s="180">
        <f>S28*S27</f>
        <v>46540.800000000003</v>
      </c>
      <c r="T29" s="180">
        <f>T28*T27</f>
        <v>206415.36000000004</v>
      </c>
      <c r="U29" s="180">
        <f>U28*U27</f>
        <v>497116.9920000002</v>
      </c>
      <c r="V29" s="180">
        <f>V28*V27</f>
        <v>1193080.7808000003</v>
      </c>
      <c r="W29" s="180">
        <f>W28*W27</f>
        <v>3355539.6960000009</v>
      </c>
      <c r="X29" s="178">
        <f>SUM(S29:W29)</f>
        <v>5298693.628800001</v>
      </c>
    </row>
    <row r="36" spans="2:24" ht="20" customHeight="1" x14ac:dyDescent="0.3">
      <c r="B36" s="35" t="s">
        <v>21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</row>
    <row r="38" spans="2:24" ht="14" customHeight="1" x14ac:dyDescent="0.3">
      <c r="B38" s="7" t="s">
        <v>167</v>
      </c>
      <c r="M38" s="1"/>
      <c r="N38" s="1"/>
      <c r="O38" s="1"/>
      <c r="P38" s="6"/>
      <c r="Q38" s="94"/>
      <c r="R38" s="7" t="s">
        <v>164</v>
      </c>
    </row>
    <row r="39" spans="2:24" ht="14" customHeight="1" x14ac:dyDescent="0.3">
      <c r="C39" s="92" t="s">
        <v>139</v>
      </c>
      <c r="D39" s="92" t="s">
        <v>140</v>
      </c>
      <c r="E39" s="92" t="s">
        <v>141</v>
      </c>
      <c r="F39" s="92" t="s">
        <v>142</v>
      </c>
      <c r="G39" s="92" t="s">
        <v>143</v>
      </c>
      <c r="H39" s="92" t="s">
        <v>144</v>
      </c>
      <c r="I39" s="92" t="s">
        <v>145</v>
      </c>
      <c r="J39" s="92" t="s">
        <v>146</v>
      </c>
      <c r="K39" s="92" t="s">
        <v>147</v>
      </c>
      <c r="L39" s="92" t="s">
        <v>148</v>
      </c>
      <c r="M39" s="92" t="s">
        <v>149</v>
      </c>
      <c r="N39" s="92" t="s">
        <v>150</v>
      </c>
      <c r="O39" s="92" t="s">
        <v>16</v>
      </c>
      <c r="P39" s="6"/>
      <c r="Q39" s="94"/>
      <c r="R39" s="20" t="s">
        <v>34</v>
      </c>
      <c r="T39" s="46">
        <v>2020</v>
      </c>
      <c r="U39" s="46">
        <v>2021</v>
      </c>
      <c r="V39" s="46">
        <v>2022</v>
      </c>
      <c r="W39" s="46">
        <v>2023</v>
      </c>
      <c r="X39" s="46" t="s">
        <v>16</v>
      </c>
    </row>
    <row r="40" spans="2:24" ht="14" customHeight="1" x14ac:dyDescent="0.3">
      <c r="B40" s="8" t="s">
        <v>26</v>
      </c>
      <c r="C40" s="175">
        <f>C56</f>
        <v>0</v>
      </c>
      <c r="D40" s="175">
        <f t="shared" ref="D40:N40" si="10">D56</f>
        <v>0</v>
      </c>
      <c r="E40" s="175">
        <f t="shared" si="10"/>
        <v>0</v>
      </c>
      <c r="F40" s="175">
        <f t="shared" si="10"/>
        <v>14204.787387389999</v>
      </c>
      <c r="G40" s="175">
        <f t="shared" si="10"/>
        <v>18674.619395760001</v>
      </c>
      <c r="H40" s="175">
        <f t="shared" si="10"/>
        <v>23092.904741760001</v>
      </c>
      <c r="I40" s="175">
        <f t="shared" si="10"/>
        <v>16752.66527025</v>
      </c>
      <c r="J40" s="175">
        <f t="shared" si="10"/>
        <v>14657.661635354998</v>
      </c>
      <c r="K40" s="175">
        <f t="shared" si="10"/>
        <v>25629.736911255</v>
      </c>
      <c r="L40" s="175">
        <f t="shared" si="10"/>
        <v>17319.678556319996</v>
      </c>
      <c r="M40" s="175">
        <f t="shared" si="10"/>
        <v>17875.646129025001</v>
      </c>
      <c r="N40" s="175">
        <f t="shared" si="10"/>
        <v>20243.110693590002</v>
      </c>
      <c r="O40" s="181">
        <f>SUM(C40:N40)</f>
        <v>168450.81072070502</v>
      </c>
      <c r="P40" s="4"/>
      <c r="Q40" s="95"/>
      <c r="R40" s="8" t="s">
        <v>26</v>
      </c>
      <c r="T40" s="14">
        <f>O56</f>
        <v>168450.81072070502</v>
      </c>
      <c r="U40" s="14">
        <f>U56</f>
        <v>900008.25960847666</v>
      </c>
      <c r="V40" s="14">
        <f>V56</f>
        <v>2250020.649021192</v>
      </c>
      <c r="W40" s="14">
        <f>W56</f>
        <v>5400049.5576508604</v>
      </c>
      <c r="X40" s="14">
        <f>X56</f>
        <v>8718529.2770012338</v>
      </c>
    </row>
    <row r="41" spans="2:24" ht="14" customHeight="1" x14ac:dyDescent="0.3">
      <c r="B41" s="8" t="s">
        <v>27</v>
      </c>
      <c r="C41" s="186">
        <f>C63</f>
        <v>0</v>
      </c>
      <c r="D41" s="186">
        <f t="shared" ref="D41:N41" si="11">D63</f>
        <v>0</v>
      </c>
      <c r="E41" s="186">
        <f t="shared" si="11"/>
        <v>0</v>
      </c>
      <c r="F41" s="186">
        <f t="shared" si="11"/>
        <v>13096.999511999999</v>
      </c>
      <c r="G41" s="186">
        <f t="shared" si="11"/>
        <v>17218.243008000001</v>
      </c>
      <c r="H41" s="186">
        <f t="shared" si="11"/>
        <v>21291.959808</v>
      </c>
      <c r="I41" s="186">
        <f t="shared" si="11"/>
        <v>15446.176200000002</v>
      </c>
      <c r="J41" s="186">
        <f t="shared" si="11"/>
        <v>13514.555484</v>
      </c>
      <c r="K41" s="186">
        <f t="shared" si="11"/>
        <v>23630.952204000001</v>
      </c>
      <c r="L41" s="186">
        <f t="shared" si="11"/>
        <v>15968.969856</v>
      </c>
      <c r="M41" s="186">
        <f t="shared" si="11"/>
        <v>16481.57922</v>
      </c>
      <c r="N41" s="186">
        <f t="shared" si="11"/>
        <v>18664.412472</v>
      </c>
      <c r="O41" s="186">
        <f>SUM(C41:N41)</f>
        <v>155313.84776400001</v>
      </c>
      <c r="P41" s="6"/>
      <c r="Q41" s="96"/>
      <c r="R41" s="8" t="s">
        <v>27</v>
      </c>
      <c r="T41" s="88">
        <f>O63</f>
        <v>155313.84776400001</v>
      </c>
      <c r="U41" s="88">
        <f>U63</f>
        <v>829819.37113343994</v>
      </c>
      <c r="V41" s="88">
        <f>V63</f>
        <v>2074548.4278336004</v>
      </c>
      <c r="W41" s="88">
        <f>W63</f>
        <v>4978916.226800641</v>
      </c>
      <c r="X41" s="88">
        <f>X63</f>
        <v>8038597.8735316815</v>
      </c>
    </row>
    <row r="42" spans="2:24" ht="14" customHeight="1" x14ac:dyDescent="0.3">
      <c r="B42" s="10" t="s">
        <v>159</v>
      </c>
      <c r="C42" s="187">
        <f>SUM(C40:C41)</f>
        <v>0</v>
      </c>
      <c r="D42" s="187">
        <f t="shared" ref="D42:N42" si="12">SUM(D40:D41)</f>
        <v>0</v>
      </c>
      <c r="E42" s="187">
        <f t="shared" si="12"/>
        <v>0</v>
      </c>
      <c r="F42" s="187">
        <f t="shared" si="12"/>
        <v>27301.786899389997</v>
      </c>
      <c r="G42" s="187">
        <f t="shared" si="12"/>
        <v>35892.862403760002</v>
      </c>
      <c r="H42" s="187">
        <f t="shared" si="12"/>
        <v>44384.864549760001</v>
      </c>
      <c r="I42" s="187">
        <f t="shared" si="12"/>
        <v>32198.841470250001</v>
      </c>
      <c r="J42" s="187">
        <f t="shared" si="12"/>
        <v>28172.217119354998</v>
      </c>
      <c r="K42" s="187">
        <f t="shared" si="12"/>
        <v>49260.689115255002</v>
      </c>
      <c r="L42" s="187">
        <f t="shared" si="12"/>
        <v>33288.648412319992</v>
      </c>
      <c r="M42" s="187">
        <f t="shared" si="12"/>
        <v>34357.225349025</v>
      </c>
      <c r="N42" s="187">
        <f t="shared" si="12"/>
        <v>38907.523165589999</v>
      </c>
      <c r="O42" s="188">
        <f>SUM(C42:N42)</f>
        <v>323764.65848470497</v>
      </c>
      <c r="P42" s="11"/>
      <c r="Q42" s="96"/>
      <c r="R42" s="10" t="s">
        <v>159</v>
      </c>
      <c r="T42" s="93">
        <f>SUM(T40:T41)</f>
        <v>323764.65848470503</v>
      </c>
      <c r="U42" s="93">
        <f>SUM(U40:U41)</f>
        <v>1729827.6307419166</v>
      </c>
      <c r="V42" s="93">
        <f>SUM(V40:V41)</f>
        <v>4324569.0768547924</v>
      </c>
      <c r="W42" s="93">
        <f>SUM(W40:W41)</f>
        <v>10378965.784451501</v>
      </c>
      <c r="X42" s="107">
        <f>SUM(X40:X41)</f>
        <v>16757127.150532916</v>
      </c>
    </row>
    <row r="43" spans="2:24" ht="14" customHeight="1" x14ac:dyDescent="0.3">
      <c r="B43" s="6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101"/>
      <c r="P43" s="6"/>
      <c r="Q43" s="94"/>
      <c r="R43" s="6"/>
      <c r="S43" s="1"/>
      <c r="T43" s="1"/>
      <c r="U43" s="1"/>
      <c r="V43" s="1"/>
      <c r="W43" s="1"/>
      <c r="X43" s="1"/>
    </row>
    <row r="44" spans="2:24" ht="14" customHeight="1" x14ac:dyDescent="0.3">
      <c r="C44" s="42"/>
      <c r="D44" s="42"/>
      <c r="E44" s="42"/>
      <c r="F44" s="42"/>
      <c r="G44" s="42"/>
      <c r="Q44" s="97"/>
      <c r="X44" s="1"/>
    </row>
    <row r="45" spans="2:24" ht="14" customHeight="1" x14ac:dyDescent="0.3">
      <c r="C45" s="42"/>
      <c r="D45" s="42"/>
      <c r="E45" s="42"/>
      <c r="F45" s="42"/>
      <c r="G45" s="42"/>
      <c r="Q45" s="97"/>
      <c r="X45" s="1"/>
    </row>
    <row r="46" spans="2:24" ht="14" customHeight="1" x14ac:dyDescent="0.3">
      <c r="Q46" s="97"/>
      <c r="R46" s="6"/>
      <c r="S46" s="1"/>
      <c r="T46" s="1"/>
      <c r="U46" s="1"/>
      <c r="X46" s="1"/>
    </row>
    <row r="47" spans="2:24" ht="14" customHeight="1" x14ac:dyDescent="0.3">
      <c r="B47" s="7" t="s">
        <v>170</v>
      </c>
      <c r="Q47" s="97"/>
      <c r="R47" s="7" t="s">
        <v>165</v>
      </c>
      <c r="X47" s="1"/>
    </row>
    <row r="48" spans="2:24" ht="14" customHeight="1" x14ac:dyDescent="0.3">
      <c r="B48" s="12"/>
      <c r="C48" s="92" t="s">
        <v>139</v>
      </c>
      <c r="D48" s="92" t="s">
        <v>140</v>
      </c>
      <c r="E48" s="92" t="s">
        <v>141</v>
      </c>
      <c r="F48" s="92" t="s">
        <v>142</v>
      </c>
      <c r="G48" s="92" t="s">
        <v>143</v>
      </c>
      <c r="H48" s="92" t="s">
        <v>144</v>
      </c>
      <c r="I48" s="92" t="s">
        <v>145</v>
      </c>
      <c r="J48" s="92" t="s">
        <v>146</v>
      </c>
      <c r="K48" s="92" t="s">
        <v>147</v>
      </c>
      <c r="L48" s="92" t="s">
        <v>148</v>
      </c>
      <c r="M48" s="92" t="s">
        <v>149</v>
      </c>
      <c r="N48" s="92" t="s">
        <v>150</v>
      </c>
      <c r="O48" s="92" t="s">
        <v>16</v>
      </c>
      <c r="P48" s="4"/>
      <c r="Q48" s="97"/>
      <c r="R48" s="12"/>
      <c r="T48" s="46">
        <v>2020</v>
      </c>
      <c r="U48" s="46">
        <v>2021</v>
      </c>
      <c r="V48" s="46">
        <v>2022</v>
      </c>
      <c r="W48" s="46">
        <v>2023</v>
      </c>
      <c r="X48" s="46" t="s">
        <v>16</v>
      </c>
    </row>
    <row r="49" spans="2:24" ht="14" customHeight="1" x14ac:dyDescent="0.3">
      <c r="B49" s="10" t="s">
        <v>123</v>
      </c>
      <c r="C49" s="13">
        <f>Assumptions!$F$76*'Cost of Sales'!C55</f>
        <v>0</v>
      </c>
      <c r="D49" s="13">
        <f>Assumptions!$F$76*'Cost of Sales'!D55</f>
        <v>0</v>
      </c>
      <c r="E49" s="13">
        <f>Assumptions!$F$76*'Cost of Sales'!E55</f>
        <v>0</v>
      </c>
      <c r="F49" s="13">
        <f>Assumptions!$F$76*'Cost of Sales'!F55</f>
        <v>19.260293399999998</v>
      </c>
      <c r="G49" s="13">
        <f>Assumptions!$F$76*'Cost of Sales'!G55</f>
        <v>25.320945600000002</v>
      </c>
      <c r="H49" s="13">
        <f>Assumptions!$F$76*'Cost of Sales'!H55</f>
        <v>31.3117056</v>
      </c>
      <c r="I49" s="13">
        <f>Assumptions!$F$76*'Cost of Sales'!I55</f>
        <v>22.714965000000003</v>
      </c>
      <c r="J49" s="13">
        <f>Assumptions!$F$76*'Cost of Sales'!J55</f>
        <v>19.874346299999999</v>
      </c>
      <c r="K49" s="13">
        <f>Assumptions!$F$76*'Cost of Sales'!K55</f>
        <v>34.7514003</v>
      </c>
      <c r="L49" s="13">
        <f>Assumptions!$F$76*'Cost of Sales'!L55</f>
        <v>23.483779199999997</v>
      </c>
      <c r="M49" s="13">
        <f>Assumptions!$F$76*'Cost of Sales'!M55</f>
        <v>24.237616500000001</v>
      </c>
      <c r="N49" s="13">
        <f>Assumptions!$F$76*'Cost of Sales'!N55</f>
        <v>27.447665400000002</v>
      </c>
      <c r="O49" s="171">
        <f>SUM(C49:N49)</f>
        <v>228.40271729999998</v>
      </c>
      <c r="Q49" s="97"/>
      <c r="R49" s="10" t="s">
        <v>123</v>
      </c>
      <c r="T49" s="171">
        <f>O49</f>
        <v>228.40271729999998</v>
      </c>
      <c r="U49" s="171">
        <f>Assumptions!G76*'Cost of Sales'!U55</f>
        <v>1435.6736524799999</v>
      </c>
      <c r="V49" s="171">
        <f>Assumptions!H76*'Cost of Sales'!V55</f>
        <v>4785.5788416000005</v>
      </c>
      <c r="W49" s="171">
        <f>Assumptions!I76*'Cost of Sales'!W55</f>
        <v>15313.85229312</v>
      </c>
      <c r="X49" s="171">
        <f>SUM(T49:W49)</f>
        <v>21763.507504500001</v>
      </c>
    </row>
    <row r="50" spans="2:24" ht="14" customHeight="1" x14ac:dyDescent="0.3">
      <c r="B50" s="8" t="s">
        <v>36</v>
      </c>
      <c r="C50" s="186">
        <f>Assumptions!$O$79</f>
        <v>476.84999999999997</v>
      </c>
      <c r="D50" s="186">
        <f>Assumptions!$O$79</f>
        <v>476.84999999999997</v>
      </c>
      <c r="E50" s="186">
        <f>Assumptions!$O$79</f>
        <v>476.84999999999997</v>
      </c>
      <c r="F50" s="186">
        <f>Assumptions!$O$79</f>
        <v>476.84999999999997</v>
      </c>
      <c r="G50" s="186">
        <f>Assumptions!$O$79</f>
        <v>476.84999999999997</v>
      </c>
      <c r="H50" s="186">
        <f>Assumptions!$O$79</f>
        <v>476.84999999999997</v>
      </c>
      <c r="I50" s="186">
        <f>Assumptions!$O$79</f>
        <v>476.84999999999997</v>
      </c>
      <c r="J50" s="186">
        <f>Assumptions!$O$79</f>
        <v>476.84999999999997</v>
      </c>
      <c r="K50" s="186">
        <f>Assumptions!$O$79</f>
        <v>476.84999999999997</v>
      </c>
      <c r="L50" s="186">
        <f>Assumptions!$O$79</f>
        <v>476.84999999999997</v>
      </c>
      <c r="M50" s="186">
        <f>Assumptions!$O$79</f>
        <v>476.84999999999997</v>
      </c>
      <c r="N50" s="186">
        <f>Assumptions!$O$79</f>
        <v>476.84999999999997</v>
      </c>
      <c r="O50" s="88"/>
      <c r="Q50" s="97"/>
      <c r="R50" s="8" t="s">
        <v>36</v>
      </c>
      <c r="T50" s="186">
        <f>Assumptions!O79</f>
        <v>476.84999999999997</v>
      </c>
      <c r="U50" s="186">
        <f>Assumptions!P79</f>
        <v>405.32249999999993</v>
      </c>
      <c r="V50" s="186">
        <f>Assumptions!Q79</f>
        <v>303.99187499999994</v>
      </c>
      <c r="W50" s="186">
        <f>Assumptions!R79</f>
        <v>227.99390624999995</v>
      </c>
      <c r="X50" s="186"/>
    </row>
    <row r="51" spans="2:24" ht="14" customHeight="1" x14ac:dyDescent="0.3">
      <c r="B51" s="8" t="s">
        <v>161</v>
      </c>
      <c r="C51" s="175">
        <f t="shared" ref="C51:N51" si="13">C49*C50</f>
        <v>0</v>
      </c>
      <c r="D51" s="175">
        <f t="shared" si="13"/>
        <v>0</v>
      </c>
      <c r="E51" s="175">
        <f t="shared" si="13"/>
        <v>0</v>
      </c>
      <c r="F51" s="175">
        <f t="shared" si="13"/>
        <v>9184.2709077899981</v>
      </c>
      <c r="G51" s="175">
        <f t="shared" si="13"/>
        <v>12074.29290936</v>
      </c>
      <c r="H51" s="175">
        <f t="shared" si="13"/>
        <v>14930.986815359998</v>
      </c>
      <c r="I51" s="175">
        <f t="shared" si="13"/>
        <v>10831.63106025</v>
      </c>
      <c r="J51" s="175">
        <f t="shared" si="13"/>
        <v>9477.0820331549985</v>
      </c>
      <c r="K51" s="175">
        <f t="shared" si="13"/>
        <v>16571.205233055</v>
      </c>
      <c r="L51" s="175">
        <f t="shared" si="13"/>
        <v>11198.240111519997</v>
      </c>
      <c r="M51" s="175">
        <f t="shared" si="13"/>
        <v>11557.707428025</v>
      </c>
      <c r="N51" s="175">
        <f t="shared" si="13"/>
        <v>13088.41924599</v>
      </c>
      <c r="O51" s="175">
        <f>SUM(C51:N51)</f>
        <v>108913.83574450496</v>
      </c>
      <c r="Q51" s="97"/>
      <c r="R51" s="8" t="s">
        <v>161</v>
      </c>
      <c r="T51" s="175">
        <f>T49*T50</f>
        <v>108913.83574450498</v>
      </c>
      <c r="U51" s="175">
        <f>U49*U50</f>
        <v>581910.83400732465</v>
      </c>
      <c r="V51" s="175">
        <f>V49*V50</f>
        <v>1454777.0850183119</v>
      </c>
      <c r="W51" s="175">
        <f>W49*W50</f>
        <v>3491465.0040439484</v>
      </c>
      <c r="X51" s="175">
        <f>SUM(T51:W51)</f>
        <v>5637066.7588140899</v>
      </c>
    </row>
    <row r="52" spans="2:24" ht="14" customHeight="1" x14ac:dyDescent="0.3">
      <c r="B52" s="10" t="s">
        <v>124</v>
      </c>
      <c r="C52" s="89">
        <f>Assumptions!$F$77*'Cost of Sales'!C55</f>
        <v>0</v>
      </c>
      <c r="D52" s="89">
        <f>Assumptions!$F$77*'Cost of Sales'!D55</f>
        <v>0</v>
      </c>
      <c r="E52" s="89">
        <f>Assumptions!$F$77*'Cost of Sales'!E55</f>
        <v>0</v>
      </c>
      <c r="F52" s="89">
        <f>Assumptions!$F$77*'Cost of Sales'!F55</f>
        <v>12.840195599999999</v>
      </c>
      <c r="G52" s="89">
        <f>Assumptions!$F$77*'Cost of Sales'!G55</f>
        <v>16.880630400000001</v>
      </c>
      <c r="H52" s="89">
        <f>Assumptions!$F$77*'Cost of Sales'!H55</f>
        <v>20.874470400000003</v>
      </c>
      <c r="I52" s="89">
        <f>Assumptions!$F$77*'Cost of Sales'!I55</f>
        <v>15.143310000000003</v>
      </c>
      <c r="J52" s="89">
        <f>Assumptions!$F$77*'Cost of Sales'!J55</f>
        <v>13.249564200000002</v>
      </c>
      <c r="K52" s="89">
        <f>Assumptions!$F$77*'Cost of Sales'!K55</f>
        <v>23.167600200000003</v>
      </c>
      <c r="L52" s="89">
        <f>Assumptions!$F$77*'Cost of Sales'!L55</f>
        <v>15.6558528</v>
      </c>
      <c r="M52" s="89">
        <f>Assumptions!$F$77*'Cost of Sales'!M55</f>
        <v>16.158411000000001</v>
      </c>
      <c r="N52" s="89">
        <f>Assumptions!$F$77*'Cost of Sales'!N55</f>
        <v>18.298443600000002</v>
      </c>
      <c r="O52" s="89">
        <f>SUM(C52:N52)</f>
        <v>152.26847820000003</v>
      </c>
      <c r="P52" s="8"/>
      <c r="Q52" s="98"/>
      <c r="R52" s="10" t="s">
        <v>124</v>
      </c>
      <c r="T52" s="192">
        <f>O52</f>
        <v>152.26847820000003</v>
      </c>
      <c r="U52" s="192">
        <f>Assumptions!G77*'Cost of Sales'!U55</f>
        <v>957.11576831999992</v>
      </c>
      <c r="V52" s="192">
        <f>Assumptions!H77*'Cost of Sales'!V55</f>
        <v>3190.3858944000003</v>
      </c>
      <c r="W52" s="192">
        <f>Assumptions!I77*'Cost of Sales'!W55</f>
        <v>10209.234862080002</v>
      </c>
      <c r="X52" s="192">
        <f>SUM(T52:W52)</f>
        <v>14509.005003000002</v>
      </c>
    </row>
    <row r="53" spans="2:24" ht="14" customHeight="1" x14ac:dyDescent="0.3">
      <c r="B53" s="8" t="s">
        <v>36</v>
      </c>
      <c r="C53" s="175">
        <f>Assumptions!$O$80</f>
        <v>391</v>
      </c>
      <c r="D53" s="175">
        <f>Assumptions!$O$80</f>
        <v>391</v>
      </c>
      <c r="E53" s="175">
        <f>Assumptions!$O$80</f>
        <v>391</v>
      </c>
      <c r="F53" s="175">
        <f>Assumptions!$O$80</f>
        <v>391</v>
      </c>
      <c r="G53" s="175">
        <f>Assumptions!$O$80</f>
        <v>391</v>
      </c>
      <c r="H53" s="175">
        <f>Assumptions!$O$80</f>
        <v>391</v>
      </c>
      <c r="I53" s="175">
        <f>Assumptions!$O$80</f>
        <v>391</v>
      </c>
      <c r="J53" s="175">
        <f>Assumptions!$O$80</f>
        <v>391</v>
      </c>
      <c r="K53" s="175">
        <f>Assumptions!$O$80</f>
        <v>391</v>
      </c>
      <c r="L53" s="175">
        <f>Assumptions!$O$80</f>
        <v>391</v>
      </c>
      <c r="M53" s="175">
        <f>Assumptions!$O$80</f>
        <v>391</v>
      </c>
      <c r="N53" s="175">
        <f>Assumptions!$O$80</f>
        <v>391</v>
      </c>
      <c r="O53" s="14"/>
      <c r="P53" s="8"/>
      <c r="Q53" s="98"/>
      <c r="R53" s="8" t="s">
        <v>36</v>
      </c>
      <c r="T53" s="175">
        <f>Assumptions!O80</f>
        <v>391</v>
      </c>
      <c r="U53" s="175">
        <f>Assumptions!P80</f>
        <v>332.34999999999997</v>
      </c>
      <c r="V53" s="175">
        <f>Assumptions!Q80</f>
        <v>249.26249999999999</v>
      </c>
      <c r="W53" s="175">
        <f>Assumptions!R80</f>
        <v>186.94687499999998</v>
      </c>
      <c r="X53" s="175"/>
    </row>
    <row r="54" spans="2:24" ht="14" customHeight="1" x14ac:dyDescent="0.3">
      <c r="B54" s="8" t="s">
        <v>162</v>
      </c>
      <c r="C54" s="186">
        <f t="shared" ref="C54:N54" si="14">C52*C53</f>
        <v>0</v>
      </c>
      <c r="D54" s="186">
        <f t="shared" si="14"/>
        <v>0</v>
      </c>
      <c r="E54" s="186">
        <f t="shared" si="14"/>
        <v>0</v>
      </c>
      <c r="F54" s="186">
        <f t="shared" si="14"/>
        <v>5020.5164795999999</v>
      </c>
      <c r="G54" s="186">
        <f t="shared" si="14"/>
        <v>6600.3264864000002</v>
      </c>
      <c r="H54" s="186">
        <f t="shared" si="14"/>
        <v>8161.9179264000013</v>
      </c>
      <c r="I54" s="186">
        <f t="shared" si="14"/>
        <v>5921.0342100000016</v>
      </c>
      <c r="J54" s="186">
        <f t="shared" si="14"/>
        <v>5180.5796022000004</v>
      </c>
      <c r="K54" s="186">
        <f t="shared" si="14"/>
        <v>9058.5316782000009</v>
      </c>
      <c r="L54" s="186">
        <f t="shared" si="14"/>
        <v>6121.4384448000001</v>
      </c>
      <c r="M54" s="186">
        <f t="shared" si="14"/>
        <v>6317.938701</v>
      </c>
      <c r="N54" s="186">
        <f t="shared" si="14"/>
        <v>7154.6914476000011</v>
      </c>
      <c r="O54" s="186">
        <f>SUM(C54:N54)</f>
        <v>59536.974976200006</v>
      </c>
      <c r="P54" s="8"/>
      <c r="Q54" s="98"/>
      <c r="R54" s="8" t="s">
        <v>162</v>
      </c>
      <c r="T54" s="186">
        <f>T52*T53</f>
        <v>59536.974976200014</v>
      </c>
      <c r="U54" s="186">
        <f>U52*U53</f>
        <v>318097.42560115195</v>
      </c>
      <c r="V54" s="186">
        <f>V52*V53</f>
        <v>795243.56400288001</v>
      </c>
      <c r="W54" s="186">
        <f>W52*W53</f>
        <v>1908584.5536069123</v>
      </c>
      <c r="X54" s="186">
        <f>SUM(T54:W54)</f>
        <v>3081462.5181871443</v>
      </c>
    </row>
    <row r="55" spans="2:24" ht="14" customHeight="1" x14ac:dyDescent="0.3">
      <c r="B55" s="10" t="s">
        <v>152</v>
      </c>
      <c r="C55" s="16">
        <f>'Forecast Sold Cars'!C67</f>
        <v>0</v>
      </c>
      <c r="D55" s="16">
        <f>'Forecast Sold Cars'!D67</f>
        <v>0</v>
      </c>
      <c r="E55" s="16">
        <f>'Forecast Sold Cars'!E67</f>
        <v>0</v>
      </c>
      <c r="F55" s="16">
        <f>'Forecast Sold Cars'!F67</f>
        <v>32.100488999999996</v>
      </c>
      <c r="G55" s="16">
        <f>'Forecast Sold Cars'!G67</f>
        <v>42.201576000000003</v>
      </c>
      <c r="H55" s="16">
        <f>'Forecast Sold Cars'!H67</f>
        <v>52.186176000000003</v>
      </c>
      <c r="I55" s="16">
        <f>'Forecast Sold Cars'!I67</f>
        <v>37.858275000000006</v>
      </c>
      <c r="J55" s="16">
        <f>'Forecast Sold Cars'!J67</f>
        <v>33.123910500000001</v>
      </c>
      <c r="K55" s="16">
        <f>'Forecast Sold Cars'!K67</f>
        <v>57.919000500000003</v>
      </c>
      <c r="L55" s="16">
        <f>'Forecast Sold Cars'!L67</f>
        <v>39.139631999999999</v>
      </c>
      <c r="M55" s="16">
        <f>'Forecast Sold Cars'!M67</f>
        <v>40.396027500000002</v>
      </c>
      <c r="N55" s="16">
        <f>'Forecast Sold Cars'!N67</f>
        <v>45.746109000000004</v>
      </c>
      <c r="O55" s="171">
        <f>SUM(C55:N55)</f>
        <v>380.67119550000001</v>
      </c>
      <c r="P55" s="15"/>
      <c r="Q55" s="99"/>
      <c r="R55" s="10" t="s">
        <v>152</v>
      </c>
      <c r="T55" s="16">
        <f>O55</f>
        <v>380.67119550000001</v>
      </c>
      <c r="U55" s="16">
        <f>'Forecast Sold Cars'!E75</f>
        <v>2392.7894207999998</v>
      </c>
      <c r="V55" s="16">
        <f>'Forecast Sold Cars'!F75</f>
        <v>7975.9647360000008</v>
      </c>
      <c r="W55" s="16">
        <f>'Forecast Sold Cars'!G75</f>
        <v>25523.087155200003</v>
      </c>
      <c r="X55" s="16">
        <f>SUM(T55:W55)</f>
        <v>36272.512507500003</v>
      </c>
    </row>
    <row r="56" spans="2:24" ht="14" customHeight="1" x14ac:dyDescent="0.3">
      <c r="B56" s="10" t="s">
        <v>159</v>
      </c>
      <c r="C56" s="189">
        <f>SUM(C51,C54)</f>
        <v>0</v>
      </c>
      <c r="D56" s="189">
        <f t="shared" ref="D56:N56" si="15">SUM(D51,D54)</f>
        <v>0</v>
      </c>
      <c r="E56" s="189">
        <f t="shared" si="15"/>
        <v>0</v>
      </c>
      <c r="F56" s="189">
        <f t="shared" si="15"/>
        <v>14204.787387389999</v>
      </c>
      <c r="G56" s="189">
        <f t="shared" si="15"/>
        <v>18674.619395760001</v>
      </c>
      <c r="H56" s="189">
        <f t="shared" si="15"/>
        <v>23092.904741760001</v>
      </c>
      <c r="I56" s="189">
        <f t="shared" si="15"/>
        <v>16752.66527025</v>
      </c>
      <c r="J56" s="189">
        <f t="shared" si="15"/>
        <v>14657.661635354998</v>
      </c>
      <c r="K56" s="189">
        <f t="shared" si="15"/>
        <v>25629.736911255</v>
      </c>
      <c r="L56" s="189">
        <f t="shared" si="15"/>
        <v>17319.678556319996</v>
      </c>
      <c r="M56" s="189">
        <f t="shared" si="15"/>
        <v>17875.646129025001</v>
      </c>
      <c r="N56" s="189">
        <f t="shared" si="15"/>
        <v>20243.110693590002</v>
      </c>
      <c r="O56" s="190">
        <f>SUM(C56:N56)</f>
        <v>168450.81072070502</v>
      </c>
      <c r="Q56" s="97"/>
      <c r="R56" s="10" t="s">
        <v>159</v>
      </c>
      <c r="T56" s="189">
        <f>SUM(T51,T54)</f>
        <v>168450.81072070499</v>
      </c>
      <c r="U56" s="189">
        <f>SUM(U51,U54)</f>
        <v>900008.25960847666</v>
      </c>
      <c r="V56" s="189">
        <f>SUM(V51,V54)</f>
        <v>2250020.649021192</v>
      </c>
      <c r="W56" s="189">
        <f>SUM(W51,W54)</f>
        <v>5400049.5576508604</v>
      </c>
      <c r="X56" s="190">
        <f>SUM(T56:W56)</f>
        <v>8718529.2770012338</v>
      </c>
    </row>
    <row r="57" spans="2:24" ht="14" customHeight="1" x14ac:dyDescent="0.3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Q57" s="97"/>
      <c r="S57" s="43"/>
      <c r="T57" s="43"/>
      <c r="U57" s="43"/>
      <c r="V57" s="43"/>
      <c r="W57" s="43"/>
      <c r="X57" s="1"/>
    </row>
    <row r="58" spans="2:24" ht="14" customHeight="1" x14ac:dyDescent="0.3">
      <c r="B58" s="7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Q58" s="97"/>
      <c r="R58" s="7"/>
      <c r="S58" s="44"/>
      <c r="T58" s="44"/>
      <c r="U58" s="44"/>
      <c r="V58" s="44"/>
      <c r="W58" s="44"/>
      <c r="X58" s="1"/>
    </row>
    <row r="59" spans="2:24" ht="14" customHeight="1" x14ac:dyDescent="0.3">
      <c r="B59" s="7" t="s">
        <v>168</v>
      </c>
      <c r="Q59" s="97"/>
      <c r="R59" s="7" t="s">
        <v>166</v>
      </c>
      <c r="X59" s="1"/>
    </row>
    <row r="60" spans="2:24" ht="14" customHeight="1" x14ac:dyDescent="0.3">
      <c r="B60" s="17"/>
      <c r="C60" s="92" t="s">
        <v>139</v>
      </c>
      <c r="D60" s="92" t="s">
        <v>140</v>
      </c>
      <c r="E60" s="92" t="s">
        <v>141</v>
      </c>
      <c r="F60" s="92" t="s">
        <v>142</v>
      </c>
      <c r="G60" s="92" t="s">
        <v>143</v>
      </c>
      <c r="H60" s="92" t="s">
        <v>144</v>
      </c>
      <c r="I60" s="92" t="s">
        <v>145</v>
      </c>
      <c r="J60" s="92" t="s">
        <v>146</v>
      </c>
      <c r="K60" s="92" t="s">
        <v>147</v>
      </c>
      <c r="L60" s="92" t="s">
        <v>148</v>
      </c>
      <c r="M60" s="92" t="s">
        <v>149</v>
      </c>
      <c r="N60" s="92" t="s">
        <v>150</v>
      </c>
      <c r="O60" s="92" t="s">
        <v>16</v>
      </c>
      <c r="P60" s="5"/>
      <c r="Q60" s="100"/>
      <c r="R60" s="17"/>
      <c r="T60" s="46">
        <v>2020</v>
      </c>
      <c r="U60" s="46">
        <v>2021</v>
      </c>
      <c r="V60" s="46">
        <v>2022</v>
      </c>
      <c r="W60" s="46">
        <v>2023</v>
      </c>
      <c r="X60" s="46" t="s">
        <v>16</v>
      </c>
    </row>
    <row r="61" spans="2:24" ht="14" customHeight="1" x14ac:dyDescent="0.3">
      <c r="B61" s="8" t="s">
        <v>27</v>
      </c>
      <c r="C61" s="45">
        <f>C55</f>
        <v>0</v>
      </c>
      <c r="D61" s="45">
        <f t="shared" ref="D61:N61" si="16">D55</f>
        <v>0</v>
      </c>
      <c r="E61" s="45">
        <f t="shared" si="16"/>
        <v>0</v>
      </c>
      <c r="F61" s="45">
        <f t="shared" si="16"/>
        <v>32.100488999999996</v>
      </c>
      <c r="G61" s="45">
        <f t="shared" si="16"/>
        <v>42.201576000000003</v>
      </c>
      <c r="H61" s="45">
        <f t="shared" si="16"/>
        <v>52.186176000000003</v>
      </c>
      <c r="I61" s="45">
        <f t="shared" si="16"/>
        <v>37.858275000000006</v>
      </c>
      <c r="J61" s="45">
        <f t="shared" si="16"/>
        <v>33.123910500000001</v>
      </c>
      <c r="K61" s="45">
        <f t="shared" si="16"/>
        <v>57.919000500000003</v>
      </c>
      <c r="L61" s="45">
        <f t="shared" si="16"/>
        <v>39.139631999999999</v>
      </c>
      <c r="M61" s="45">
        <f t="shared" si="16"/>
        <v>40.396027500000002</v>
      </c>
      <c r="N61" s="45">
        <f t="shared" si="16"/>
        <v>45.746109000000004</v>
      </c>
      <c r="O61" s="18">
        <f>SUM(C61:N61)</f>
        <v>380.67119550000001</v>
      </c>
      <c r="P61" s="5"/>
      <c r="Q61" s="100"/>
      <c r="R61" s="8" t="s">
        <v>27</v>
      </c>
      <c r="T61" s="45">
        <f>T55</f>
        <v>380.67119550000001</v>
      </c>
      <c r="U61" s="45">
        <f>U55</f>
        <v>2392.7894207999998</v>
      </c>
      <c r="V61" s="45">
        <f>V55</f>
        <v>7975.9647360000008</v>
      </c>
      <c r="W61" s="45">
        <f>W55</f>
        <v>25523.087155200003</v>
      </c>
      <c r="X61" s="45">
        <f>SUM(T61:W61)</f>
        <v>36272.512507500003</v>
      </c>
    </row>
    <row r="62" spans="2:24" ht="14" customHeight="1" x14ac:dyDescent="0.3">
      <c r="B62" s="8" t="s">
        <v>37</v>
      </c>
      <c r="C62" s="90">
        <f>Assumptions!$O$81</f>
        <v>408</v>
      </c>
      <c r="D62" s="90">
        <f>Assumptions!$O$81</f>
        <v>408</v>
      </c>
      <c r="E62" s="90">
        <f>Assumptions!$O$81</f>
        <v>408</v>
      </c>
      <c r="F62" s="90">
        <f>Assumptions!$O$81</f>
        <v>408</v>
      </c>
      <c r="G62" s="90">
        <f>Assumptions!$O$81</f>
        <v>408</v>
      </c>
      <c r="H62" s="90">
        <f>Assumptions!$O$81</f>
        <v>408</v>
      </c>
      <c r="I62" s="90">
        <f>Assumptions!$O$81</f>
        <v>408</v>
      </c>
      <c r="J62" s="90">
        <f>Assumptions!$O$81</f>
        <v>408</v>
      </c>
      <c r="K62" s="90">
        <f>Assumptions!$O$81</f>
        <v>408</v>
      </c>
      <c r="L62" s="90">
        <f>Assumptions!$O$81</f>
        <v>408</v>
      </c>
      <c r="M62" s="90">
        <f>Assumptions!$O$81</f>
        <v>408</v>
      </c>
      <c r="N62" s="90">
        <f>Assumptions!$O$81</f>
        <v>408</v>
      </c>
      <c r="O62" s="91"/>
      <c r="P62" s="5"/>
      <c r="Q62" s="100"/>
      <c r="R62" s="8" t="s">
        <v>37</v>
      </c>
      <c r="T62" s="193">
        <f>Assumptions!O81</f>
        <v>408</v>
      </c>
      <c r="U62" s="193">
        <f>Assumptions!P81</f>
        <v>346.8</v>
      </c>
      <c r="V62" s="193">
        <f>Assumptions!Q81</f>
        <v>260.10000000000002</v>
      </c>
      <c r="W62" s="193">
        <f>Assumptions!R81</f>
        <v>195.07500000000002</v>
      </c>
      <c r="X62" s="193"/>
    </row>
    <row r="63" spans="2:24" ht="14" customHeight="1" x14ac:dyDescent="0.3">
      <c r="B63" s="10" t="s">
        <v>159</v>
      </c>
      <c r="C63" s="191">
        <f t="shared" ref="C63:N63" si="17">C62*C61</f>
        <v>0</v>
      </c>
      <c r="D63" s="191">
        <f t="shared" si="17"/>
        <v>0</v>
      </c>
      <c r="E63" s="191">
        <f t="shared" si="17"/>
        <v>0</v>
      </c>
      <c r="F63" s="191">
        <f t="shared" si="17"/>
        <v>13096.999511999999</v>
      </c>
      <c r="G63" s="191">
        <f t="shared" si="17"/>
        <v>17218.243008000001</v>
      </c>
      <c r="H63" s="191">
        <f t="shared" si="17"/>
        <v>21291.959808</v>
      </c>
      <c r="I63" s="191">
        <f t="shared" si="17"/>
        <v>15446.176200000002</v>
      </c>
      <c r="J63" s="191">
        <f t="shared" si="17"/>
        <v>13514.555484</v>
      </c>
      <c r="K63" s="191">
        <f t="shared" si="17"/>
        <v>23630.952204000001</v>
      </c>
      <c r="L63" s="191">
        <f t="shared" si="17"/>
        <v>15968.969856</v>
      </c>
      <c r="M63" s="191">
        <f t="shared" si="17"/>
        <v>16481.57922</v>
      </c>
      <c r="N63" s="191">
        <f t="shared" si="17"/>
        <v>18664.412472</v>
      </c>
      <c r="O63" s="190">
        <f>SUM(C63:N63)</f>
        <v>155313.84776400001</v>
      </c>
      <c r="P63" s="5"/>
      <c r="Q63" s="100"/>
      <c r="R63" s="10" t="s">
        <v>159</v>
      </c>
      <c r="T63" s="191">
        <f>T62*T61</f>
        <v>155313.84776400001</v>
      </c>
      <c r="U63" s="191">
        <f>U62*U61</f>
        <v>829819.37113343994</v>
      </c>
      <c r="V63" s="191">
        <f>V62*V61</f>
        <v>2074548.4278336004</v>
      </c>
      <c r="W63" s="191">
        <f>W62*W61</f>
        <v>4978916.226800641</v>
      </c>
      <c r="X63" s="194">
        <f>SUM(T63:W63)</f>
        <v>8038597.8735316815</v>
      </c>
    </row>
    <row r="70" spans="2:24" ht="20" customHeight="1" x14ac:dyDescent="0.3">
      <c r="B70" s="104" t="s">
        <v>24</v>
      </c>
      <c r="C70" s="7"/>
    </row>
    <row r="72" spans="2:24" ht="14" customHeight="1" x14ac:dyDescent="0.3">
      <c r="B72" s="7" t="s">
        <v>167</v>
      </c>
      <c r="M72" s="1"/>
      <c r="N72" s="1"/>
      <c r="O72" s="1"/>
      <c r="P72" s="6"/>
      <c r="Q72" s="94"/>
      <c r="R72" s="7" t="s">
        <v>164</v>
      </c>
    </row>
    <row r="73" spans="2:24" ht="14" customHeight="1" x14ac:dyDescent="0.3">
      <c r="C73" s="105" t="s">
        <v>139</v>
      </c>
      <c r="D73" s="105" t="s">
        <v>140</v>
      </c>
      <c r="E73" s="105" t="s">
        <v>141</v>
      </c>
      <c r="F73" s="105" t="s">
        <v>142</v>
      </c>
      <c r="G73" s="105" t="s">
        <v>143</v>
      </c>
      <c r="H73" s="105" t="s">
        <v>144</v>
      </c>
      <c r="I73" s="105" t="s">
        <v>145</v>
      </c>
      <c r="J73" s="105" t="s">
        <v>146</v>
      </c>
      <c r="K73" s="105" t="s">
        <v>147</v>
      </c>
      <c r="L73" s="105" t="s">
        <v>148</v>
      </c>
      <c r="M73" s="105" t="s">
        <v>149</v>
      </c>
      <c r="N73" s="105" t="s">
        <v>150</v>
      </c>
      <c r="O73" s="105" t="s">
        <v>16</v>
      </c>
      <c r="P73" s="6"/>
      <c r="Q73" s="94"/>
      <c r="R73" s="20" t="s">
        <v>34</v>
      </c>
      <c r="T73" s="105">
        <v>2020</v>
      </c>
      <c r="U73" s="105">
        <v>2021</v>
      </c>
      <c r="V73" s="105">
        <v>2022</v>
      </c>
      <c r="W73" s="105">
        <v>2023</v>
      </c>
      <c r="X73" s="105" t="s">
        <v>16</v>
      </c>
    </row>
    <row r="74" spans="2:24" ht="14" customHeight="1" x14ac:dyDescent="0.3">
      <c r="B74" s="8" t="s">
        <v>26</v>
      </c>
      <c r="C74" s="175">
        <f>C90</f>
        <v>0</v>
      </c>
      <c r="D74" s="175">
        <f t="shared" ref="D74:N74" si="18">D90</f>
        <v>0</v>
      </c>
      <c r="E74" s="175">
        <f t="shared" si="18"/>
        <v>0</v>
      </c>
      <c r="F74" s="175">
        <f t="shared" si="18"/>
        <v>0</v>
      </c>
      <c r="G74" s="175">
        <f t="shared" si="18"/>
        <v>0</v>
      </c>
      <c r="H74" s="175">
        <f t="shared" si="18"/>
        <v>0</v>
      </c>
      <c r="I74" s="175">
        <f t="shared" si="18"/>
        <v>0</v>
      </c>
      <c r="J74" s="175">
        <f t="shared" si="18"/>
        <v>0</v>
      </c>
      <c r="K74" s="175">
        <f t="shared" si="18"/>
        <v>0</v>
      </c>
      <c r="L74" s="175">
        <f t="shared" si="18"/>
        <v>0</v>
      </c>
      <c r="M74" s="175">
        <f t="shared" si="18"/>
        <v>0</v>
      </c>
      <c r="N74" s="175">
        <f t="shared" si="18"/>
        <v>0</v>
      </c>
      <c r="O74" s="181">
        <f>SUM(C74:N74)</f>
        <v>0</v>
      </c>
      <c r="P74" s="4"/>
      <c r="Q74" s="95"/>
      <c r="R74" s="8" t="s">
        <v>26</v>
      </c>
      <c r="T74" s="175">
        <f>O90</f>
        <v>0</v>
      </c>
      <c r="U74" s="175">
        <f>U90</f>
        <v>273874.26589907985</v>
      </c>
      <c r="V74" s="175">
        <f>V90</f>
        <v>1232434.1965458596</v>
      </c>
      <c r="W74" s="175">
        <f>W90</f>
        <v>3081085.4913646486</v>
      </c>
      <c r="X74" s="175">
        <f>X90</f>
        <v>4587393.9538095882</v>
      </c>
    </row>
    <row r="75" spans="2:24" ht="14" customHeight="1" x14ac:dyDescent="0.3">
      <c r="B75" s="8" t="s">
        <v>27</v>
      </c>
      <c r="C75" s="195">
        <f>C97</f>
        <v>0</v>
      </c>
      <c r="D75" s="195">
        <f t="shared" ref="D75:N75" si="19">D97</f>
        <v>0</v>
      </c>
      <c r="E75" s="195">
        <f t="shared" si="19"/>
        <v>0</v>
      </c>
      <c r="F75" s="195">
        <f t="shared" si="19"/>
        <v>0</v>
      </c>
      <c r="G75" s="195">
        <f t="shared" si="19"/>
        <v>0</v>
      </c>
      <c r="H75" s="195">
        <f t="shared" si="19"/>
        <v>0</v>
      </c>
      <c r="I75" s="195">
        <f t="shared" si="19"/>
        <v>0</v>
      </c>
      <c r="J75" s="195">
        <f t="shared" si="19"/>
        <v>0</v>
      </c>
      <c r="K75" s="195">
        <f t="shared" si="19"/>
        <v>0</v>
      </c>
      <c r="L75" s="195">
        <f t="shared" si="19"/>
        <v>0</v>
      </c>
      <c r="M75" s="195">
        <f t="shared" si="19"/>
        <v>0</v>
      </c>
      <c r="N75" s="195">
        <f t="shared" si="19"/>
        <v>0</v>
      </c>
      <c r="O75" s="195">
        <f>SUM(C75:N75)</f>
        <v>0</v>
      </c>
      <c r="P75" s="6"/>
      <c r="Q75" s="96"/>
      <c r="R75" s="8" t="s">
        <v>27</v>
      </c>
      <c r="T75" s="195">
        <f>O97</f>
        <v>0</v>
      </c>
      <c r="U75" s="195">
        <f>U97</f>
        <v>252515.65046399995</v>
      </c>
      <c r="V75" s="195">
        <f>V97</f>
        <v>1136320.4270879999</v>
      </c>
      <c r="W75" s="195">
        <f>W97</f>
        <v>2840801.0677199997</v>
      </c>
      <c r="X75" s="195">
        <f>X97</f>
        <v>4229637.1452719998</v>
      </c>
    </row>
    <row r="76" spans="2:24" ht="14" customHeight="1" x14ac:dyDescent="0.3">
      <c r="B76" s="10" t="s">
        <v>159</v>
      </c>
      <c r="C76" s="221">
        <f>SUM(C74:C75)</f>
        <v>0</v>
      </c>
      <c r="D76" s="221">
        <f t="shared" ref="D76:N76" si="20">SUM(D74:D75)</f>
        <v>0</v>
      </c>
      <c r="E76" s="221">
        <f t="shared" si="20"/>
        <v>0</v>
      </c>
      <c r="F76" s="221">
        <f t="shared" si="20"/>
        <v>0</v>
      </c>
      <c r="G76" s="221">
        <f t="shared" si="20"/>
        <v>0</v>
      </c>
      <c r="H76" s="221">
        <f t="shared" si="20"/>
        <v>0</v>
      </c>
      <c r="I76" s="221">
        <f t="shared" si="20"/>
        <v>0</v>
      </c>
      <c r="J76" s="221">
        <f t="shared" si="20"/>
        <v>0</v>
      </c>
      <c r="K76" s="221">
        <f t="shared" si="20"/>
        <v>0</v>
      </c>
      <c r="L76" s="221">
        <f t="shared" si="20"/>
        <v>0</v>
      </c>
      <c r="M76" s="221">
        <f t="shared" si="20"/>
        <v>0</v>
      </c>
      <c r="N76" s="221">
        <f t="shared" si="20"/>
        <v>0</v>
      </c>
      <c r="O76" s="222">
        <f>SUM(C76:N76)</f>
        <v>0</v>
      </c>
      <c r="P76" s="11"/>
      <c r="Q76" s="96"/>
      <c r="R76" s="10" t="s">
        <v>159</v>
      </c>
      <c r="T76" s="221">
        <f>SUM(T74:T75)</f>
        <v>0</v>
      </c>
      <c r="U76" s="221">
        <f>SUM(U74:U75)</f>
        <v>526389.9163630798</v>
      </c>
      <c r="V76" s="221">
        <f>SUM(V74:V75)</f>
        <v>2368754.6236338597</v>
      </c>
      <c r="W76" s="221">
        <f>SUM(W74:W75)</f>
        <v>5921886.5590846483</v>
      </c>
      <c r="X76" s="222">
        <f>SUM(X74:X75)</f>
        <v>8817031.099081587</v>
      </c>
    </row>
    <row r="77" spans="2:24" ht="14" customHeight="1" x14ac:dyDescent="0.3">
      <c r="B77" s="6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1"/>
      <c r="P77" s="6"/>
      <c r="Q77" s="94"/>
      <c r="R77" s="6"/>
      <c r="S77" s="1"/>
      <c r="T77" s="1"/>
      <c r="U77" s="1"/>
      <c r="V77" s="1"/>
      <c r="W77" s="1"/>
    </row>
    <row r="78" spans="2:24" ht="14" customHeight="1" x14ac:dyDescent="0.3">
      <c r="C78" s="42"/>
      <c r="D78" s="42"/>
      <c r="E78" s="42"/>
      <c r="F78" s="42"/>
      <c r="G78" s="42"/>
      <c r="Q78" s="97"/>
      <c r="W78" s="1"/>
    </row>
    <row r="79" spans="2:24" ht="14" customHeight="1" x14ac:dyDescent="0.3">
      <c r="C79" s="42"/>
      <c r="D79" s="42"/>
      <c r="E79" s="42"/>
      <c r="F79" s="42"/>
      <c r="G79" s="42"/>
      <c r="Q79" s="97"/>
      <c r="W79" s="1"/>
    </row>
    <row r="80" spans="2:24" ht="14" customHeight="1" x14ac:dyDescent="0.3"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Q80" s="97"/>
      <c r="R80" s="6"/>
      <c r="S80" s="1"/>
      <c r="T80" s="1"/>
      <c r="U80" s="1"/>
      <c r="W80" s="1"/>
    </row>
    <row r="81" spans="2:24" ht="14" customHeight="1" x14ac:dyDescent="0.3">
      <c r="B81" s="7" t="s">
        <v>170</v>
      </c>
      <c r="Q81" s="97"/>
      <c r="R81" s="7" t="s">
        <v>165</v>
      </c>
      <c r="W81" s="1"/>
    </row>
    <row r="82" spans="2:24" ht="14" customHeight="1" x14ac:dyDescent="0.3">
      <c r="B82" s="12"/>
      <c r="C82" s="105" t="s">
        <v>139</v>
      </c>
      <c r="D82" s="105" t="s">
        <v>140</v>
      </c>
      <c r="E82" s="105" t="s">
        <v>141</v>
      </c>
      <c r="F82" s="105" t="s">
        <v>142</v>
      </c>
      <c r="G82" s="105" t="s">
        <v>143</v>
      </c>
      <c r="H82" s="105" t="s">
        <v>144</v>
      </c>
      <c r="I82" s="105" t="s">
        <v>145</v>
      </c>
      <c r="J82" s="105" t="s">
        <v>146</v>
      </c>
      <c r="K82" s="105" t="s">
        <v>147</v>
      </c>
      <c r="L82" s="105" t="s">
        <v>148</v>
      </c>
      <c r="M82" s="105" t="s">
        <v>149</v>
      </c>
      <c r="N82" s="105" t="s">
        <v>150</v>
      </c>
      <c r="O82" s="105" t="s">
        <v>16</v>
      </c>
      <c r="P82" s="4"/>
      <c r="Q82" s="97"/>
      <c r="R82" s="12"/>
      <c r="T82" s="105">
        <v>2020</v>
      </c>
      <c r="U82" s="105">
        <v>2021</v>
      </c>
      <c r="V82" s="105">
        <v>2022</v>
      </c>
      <c r="W82" s="105">
        <v>2023</v>
      </c>
      <c r="X82" s="105" t="s">
        <v>16</v>
      </c>
    </row>
    <row r="83" spans="2:24" ht="14" customHeight="1" x14ac:dyDescent="0.3">
      <c r="B83" s="10" t="s">
        <v>123</v>
      </c>
      <c r="C83" s="13">
        <f>Assumptions!$F$89*'Cost of Sales'!C89</f>
        <v>0</v>
      </c>
      <c r="D83" s="13">
        <f>Assumptions!$F$89*'Cost of Sales'!D89</f>
        <v>0</v>
      </c>
      <c r="E83" s="13">
        <f>Assumptions!$F$89*'Cost of Sales'!E89</f>
        <v>0</v>
      </c>
      <c r="F83" s="13">
        <f>Assumptions!$F$89*'Cost of Sales'!F89</f>
        <v>0</v>
      </c>
      <c r="G83" s="13">
        <f>Assumptions!$F$89*'Cost of Sales'!G89</f>
        <v>0</v>
      </c>
      <c r="H83" s="13">
        <f>Assumptions!$F$89*'Cost of Sales'!H89</f>
        <v>0</v>
      </c>
      <c r="I83" s="13">
        <f>Assumptions!$F$89*'Cost of Sales'!I89</f>
        <v>0</v>
      </c>
      <c r="J83" s="13">
        <f>Assumptions!$F$89*'Cost of Sales'!J89</f>
        <v>0</v>
      </c>
      <c r="K83" s="13">
        <f>Assumptions!$F$89*'Cost of Sales'!K89</f>
        <v>0</v>
      </c>
      <c r="L83" s="13">
        <f>Assumptions!$F$89*'Cost of Sales'!L89</f>
        <v>0</v>
      </c>
      <c r="M83" s="13">
        <f>Assumptions!$F$89*'Cost of Sales'!M89</f>
        <v>0</v>
      </c>
      <c r="N83" s="13">
        <f>Assumptions!$F$89*'Cost of Sales'!N89</f>
        <v>0</v>
      </c>
      <c r="O83" s="13">
        <f>SUM(C83:N83)</f>
        <v>0</v>
      </c>
      <c r="Q83" s="97"/>
      <c r="R83" s="10" t="s">
        <v>123</v>
      </c>
      <c r="T83" s="171">
        <f>O83</f>
        <v>0</v>
      </c>
      <c r="U83" s="171">
        <f>Assumptions!G89*'Cost of Sales'!U89</f>
        <v>436.87828799999988</v>
      </c>
      <c r="V83" s="171">
        <f>Assumptions!H89*'Cost of Sales'!V89</f>
        <v>2621.2697279999993</v>
      </c>
      <c r="W83" s="171">
        <f>Assumptions!I89*'Cost of Sales'!W89</f>
        <v>8737.5657599999977</v>
      </c>
      <c r="X83" s="171">
        <f>SUM(T83:W83)</f>
        <v>11795.713775999997</v>
      </c>
    </row>
    <row r="84" spans="2:24" ht="14" customHeight="1" x14ac:dyDescent="0.3">
      <c r="B84" s="8" t="s">
        <v>36</v>
      </c>
      <c r="C84" s="195">
        <f>Assumptions!$O$92</f>
        <v>476.84999999999997</v>
      </c>
      <c r="D84" s="195">
        <f>Assumptions!$O$92</f>
        <v>476.84999999999997</v>
      </c>
      <c r="E84" s="195">
        <f>Assumptions!$O$92</f>
        <v>476.84999999999997</v>
      </c>
      <c r="F84" s="195">
        <f>Assumptions!$O$92</f>
        <v>476.84999999999997</v>
      </c>
      <c r="G84" s="195">
        <f>Assumptions!$O$92</f>
        <v>476.84999999999997</v>
      </c>
      <c r="H84" s="195">
        <f>Assumptions!$O$92</f>
        <v>476.84999999999997</v>
      </c>
      <c r="I84" s="195">
        <f>Assumptions!$O$92</f>
        <v>476.84999999999997</v>
      </c>
      <c r="J84" s="195">
        <f>Assumptions!$O$92</f>
        <v>476.84999999999997</v>
      </c>
      <c r="K84" s="195">
        <f>Assumptions!$O$92</f>
        <v>476.84999999999997</v>
      </c>
      <c r="L84" s="195">
        <f>Assumptions!$O$92</f>
        <v>476.84999999999997</v>
      </c>
      <c r="M84" s="195">
        <f>Assumptions!$O$92</f>
        <v>476.84999999999997</v>
      </c>
      <c r="N84" s="195">
        <f>Assumptions!$O$92</f>
        <v>476.84999999999997</v>
      </c>
      <c r="O84" s="195"/>
      <c r="Q84" s="97"/>
      <c r="R84" s="8" t="s">
        <v>36</v>
      </c>
      <c r="T84" s="195">
        <f>Assumptions!O92</f>
        <v>476.84999999999997</v>
      </c>
      <c r="U84" s="195">
        <f>Assumptions!P92</f>
        <v>405.32249999999993</v>
      </c>
      <c r="V84" s="195">
        <f>Assumptions!Q92</f>
        <v>303.99187499999994</v>
      </c>
      <c r="W84" s="195">
        <f>Assumptions!R92</f>
        <v>227.99390624999995</v>
      </c>
      <c r="X84" s="195"/>
    </row>
    <row r="85" spans="2:24" ht="14" customHeight="1" x14ac:dyDescent="0.3">
      <c r="B85" s="8" t="s">
        <v>161</v>
      </c>
      <c r="C85" s="175">
        <f t="shared" ref="C85:N85" si="21">C83*C84</f>
        <v>0</v>
      </c>
      <c r="D85" s="175">
        <f t="shared" si="21"/>
        <v>0</v>
      </c>
      <c r="E85" s="175">
        <f t="shared" si="21"/>
        <v>0</v>
      </c>
      <c r="F85" s="175">
        <f t="shared" si="21"/>
        <v>0</v>
      </c>
      <c r="G85" s="175">
        <f t="shared" si="21"/>
        <v>0</v>
      </c>
      <c r="H85" s="175">
        <f t="shared" si="21"/>
        <v>0</v>
      </c>
      <c r="I85" s="175">
        <f t="shared" si="21"/>
        <v>0</v>
      </c>
      <c r="J85" s="175">
        <f t="shared" si="21"/>
        <v>0</v>
      </c>
      <c r="K85" s="175">
        <f t="shared" si="21"/>
        <v>0</v>
      </c>
      <c r="L85" s="175">
        <f t="shared" si="21"/>
        <v>0</v>
      </c>
      <c r="M85" s="175">
        <f t="shared" si="21"/>
        <v>0</v>
      </c>
      <c r="N85" s="175">
        <f t="shared" si="21"/>
        <v>0</v>
      </c>
      <c r="O85" s="175">
        <f>SUM(C85:N85)</f>
        <v>0</v>
      </c>
      <c r="Q85" s="97"/>
      <c r="R85" s="8" t="s">
        <v>161</v>
      </c>
      <c r="T85" s="175">
        <f>T83*T84</f>
        <v>0</v>
      </c>
      <c r="U85" s="175">
        <f>U83*U84</f>
        <v>177076.59988787991</v>
      </c>
      <c r="V85" s="175">
        <f>V83*V84</f>
        <v>796844.69949545967</v>
      </c>
      <c r="W85" s="175">
        <f>W83*W84</f>
        <v>1992111.7487386491</v>
      </c>
      <c r="X85" s="175">
        <f>SUM(T85:W85)</f>
        <v>2966033.0481219888</v>
      </c>
    </row>
    <row r="86" spans="2:24" ht="14" customHeight="1" x14ac:dyDescent="0.3">
      <c r="B86" s="10" t="s">
        <v>124</v>
      </c>
      <c r="C86" s="106">
        <f>Assumptions!$F$90*'Cost of Sales'!C89</f>
        <v>0</v>
      </c>
      <c r="D86" s="106">
        <f>Assumptions!$F$90*'Cost of Sales'!D89</f>
        <v>0</v>
      </c>
      <c r="E86" s="106">
        <f>Assumptions!$F$90*'Cost of Sales'!E89</f>
        <v>0</v>
      </c>
      <c r="F86" s="106">
        <f>Assumptions!$F$90*'Cost of Sales'!F89</f>
        <v>0</v>
      </c>
      <c r="G86" s="106">
        <f>Assumptions!$F$90*'Cost of Sales'!G89</f>
        <v>0</v>
      </c>
      <c r="H86" s="106">
        <f>Assumptions!$F$90*'Cost of Sales'!H89</f>
        <v>0</v>
      </c>
      <c r="I86" s="106">
        <f>Assumptions!$F$90*'Cost of Sales'!I89</f>
        <v>0</v>
      </c>
      <c r="J86" s="106">
        <f>Assumptions!$F$90*'Cost of Sales'!J89</f>
        <v>0</v>
      </c>
      <c r="K86" s="106">
        <f>Assumptions!$F$90*'Cost of Sales'!K89</f>
        <v>0</v>
      </c>
      <c r="L86" s="106">
        <f>Assumptions!$F$90*'Cost of Sales'!L89</f>
        <v>0</v>
      </c>
      <c r="M86" s="106">
        <f>Assumptions!$F$90*'Cost of Sales'!M89</f>
        <v>0</v>
      </c>
      <c r="N86" s="106">
        <f>Assumptions!$F$90*'Cost of Sales'!N89</f>
        <v>0</v>
      </c>
      <c r="O86" s="106">
        <f>SUM(C86:N86)</f>
        <v>0</v>
      </c>
      <c r="P86" s="8"/>
      <c r="Q86" s="98"/>
      <c r="R86" s="10" t="s">
        <v>124</v>
      </c>
      <c r="T86" s="171">
        <f>O86</f>
        <v>0</v>
      </c>
      <c r="U86" s="202">
        <f>Assumptions!G90*'Cost of Sales'!U89</f>
        <v>291.25219199999992</v>
      </c>
      <c r="V86" s="202">
        <f>Assumptions!H90*'Cost of Sales'!V89</f>
        <v>1747.5131519999995</v>
      </c>
      <c r="W86" s="202">
        <f>Assumptions!I90*'Cost of Sales'!W89</f>
        <v>5825.0438399999985</v>
      </c>
      <c r="X86" s="202">
        <f>SUM(T86:W86)</f>
        <v>7863.8091839999979</v>
      </c>
    </row>
    <row r="87" spans="2:24" ht="14" customHeight="1" x14ac:dyDescent="0.3">
      <c r="B87" s="8" t="s">
        <v>36</v>
      </c>
      <c r="C87" s="175">
        <f>Assumptions!$O$93</f>
        <v>391</v>
      </c>
      <c r="D87" s="175">
        <f>Assumptions!$O$93</f>
        <v>391</v>
      </c>
      <c r="E87" s="175">
        <f>Assumptions!$O$93</f>
        <v>391</v>
      </c>
      <c r="F87" s="175">
        <f>Assumptions!$O$93</f>
        <v>391</v>
      </c>
      <c r="G87" s="175">
        <f>Assumptions!$O$93</f>
        <v>391</v>
      </c>
      <c r="H87" s="175">
        <f>Assumptions!$O$93</f>
        <v>391</v>
      </c>
      <c r="I87" s="175">
        <f>Assumptions!$O$93</f>
        <v>391</v>
      </c>
      <c r="J87" s="175">
        <f>Assumptions!$O$93</f>
        <v>391</v>
      </c>
      <c r="K87" s="175">
        <f>Assumptions!$O$93</f>
        <v>391</v>
      </c>
      <c r="L87" s="175">
        <f>Assumptions!$O$93</f>
        <v>391</v>
      </c>
      <c r="M87" s="175">
        <f>Assumptions!$O$93</f>
        <v>391</v>
      </c>
      <c r="N87" s="175">
        <f>Assumptions!$O$93</f>
        <v>391</v>
      </c>
      <c r="O87" s="175"/>
      <c r="P87" s="8"/>
      <c r="Q87" s="98"/>
      <c r="R87" s="8" t="s">
        <v>36</v>
      </c>
      <c r="T87" s="175">
        <f>Assumptions!O93</f>
        <v>391</v>
      </c>
      <c r="U87" s="175">
        <f>Assumptions!P93</f>
        <v>332.34999999999997</v>
      </c>
      <c r="V87" s="175">
        <f>Assumptions!Q93</f>
        <v>249.26249999999999</v>
      </c>
      <c r="W87" s="175">
        <f>Assumptions!R93</f>
        <v>186.94687499999998</v>
      </c>
      <c r="X87" s="175"/>
    </row>
    <row r="88" spans="2:24" ht="14" customHeight="1" x14ac:dyDescent="0.3">
      <c r="B88" s="8" t="s">
        <v>162</v>
      </c>
      <c r="C88" s="195">
        <f t="shared" ref="C88:N88" si="22">C86*C87</f>
        <v>0</v>
      </c>
      <c r="D88" s="195">
        <f t="shared" si="22"/>
        <v>0</v>
      </c>
      <c r="E88" s="195">
        <f t="shared" si="22"/>
        <v>0</v>
      </c>
      <c r="F88" s="195">
        <f t="shared" si="22"/>
        <v>0</v>
      </c>
      <c r="G88" s="195">
        <f t="shared" si="22"/>
        <v>0</v>
      </c>
      <c r="H88" s="195">
        <f t="shared" si="22"/>
        <v>0</v>
      </c>
      <c r="I88" s="195">
        <f t="shared" si="22"/>
        <v>0</v>
      </c>
      <c r="J88" s="195">
        <f t="shared" si="22"/>
        <v>0</v>
      </c>
      <c r="K88" s="195">
        <f t="shared" si="22"/>
        <v>0</v>
      </c>
      <c r="L88" s="195">
        <f t="shared" si="22"/>
        <v>0</v>
      </c>
      <c r="M88" s="195">
        <f t="shared" si="22"/>
        <v>0</v>
      </c>
      <c r="N88" s="195">
        <f t="shared" si="22"/>
        <v>0</v>
      </c>
      <c r="O88" s="195">
        <f>SUM(C88:N88)</f>
        <v>0</v>
      </c>
      <c r="P88" s="8"/>
      <c r="Q88" s="98"/>
      <c r="R88" s="8" t="s">
        <v>162</v>
      </c>
      <c r="T88" s="195">
        <f>T86*T87</f>
        <v>0</v>
      </c>
      <c r="U88" s="195">
        <f>U86*U87</f>
        <v>96797.666011199966</v>
      </c>
      <c r="V88" s="195">
        <f>V86*V87</f>
        <v>435589.49705039989</v>
      </c>
      <c r="W88" s="195">
        <f>W86*W87</f>
        <v>1088973.7426259995</v>
      </c>
      <c r="X88" s="195">
        <f>SUM(T88:W88)</f>
        <v>1621360.9056875994</v>
      </c>
    </row>
    <row r="89" spans="2:24" ht="14" customHeight="1" x14ac:dyDescent="0.3">
      <c r="B89" s="10" t="s">
        <v>152</v>
      </c>
      <c r="C89" s="16">
        <f>'Forecast Sold Cars'!C116</f>
        <v>0</v>
      </c>
      <c r="D89" s="16">
        <f>'Forecast Sold Cars'!D116</f>
        <v>0</v>
      </c>
      <c r="E89" s="16">
        <f>'Forecast Sold Cars'!E116</f>
        <v>0</v>
      </c>
      <c r="F89" s="16">
        <f>'Forecast Sold Cars'!F116</f>
        <v>0</v>
      </c>
      <c r="G89" s="16">
        <f>'Forecast Sold Cars'!G116</f>
        <v>0</v>
      </c>
      <c r="H89" s="16">
        <f>'Forecast Sold Cars'!H116</f>
        <v>0</v>
      </c>
      <c r="I89" s="16">
        <f>'Forecast Sold Cars'!I116</f>
        <v>0</v>
      </c>
      <c r="J89" s="16">
        <f>'Forecast Sold Cars'!J116</f>
        <v>0</v>
      </c>
      <c r="K89" s="16">
        <f>'Forecast Sold Cars'!K116</f>
        <v>0</v>
      </c>
      <c r="L89" s="16">
        <f>'Forecast Sold Cars'!L116</f>
        <v>0</v>
      </c>
      <c r="M89" s="16">
        <f>'Forecast Sold Cars'!M116</f>
        <v>0</v>
      </c>
      <c r="N89" s="16">
        <f>'Forecast Sold Cars'!N116</f>
        <v>0</v>
      </c>
      <c r="O89" s="103">
        <f>SUM(C89:N89)</f>
        <v>0</v>
      </c>
      <c r="P89" s="15"/>
      <c r="Q89" s="99"/>
      <c r="R89" s="10" t="s">
        <v>152</v>
      </c>
      <c r="T89" s="16">
        <f>O89</f>
        <v>0</v>
      </c>
      <c r="U89" s="16">
        <f>'Forecast Sold Cars'!E125</f>
        <v>728.13047999999981</v>
      </c>
      <c r="V89" s="16">
        <f>'Forecast Sold Cars'!F125</f>
        <v>4368.7828799999988</v>
      </c>
      <c r="W89" s="16">
        <f>'Forecast Sold Cars'!G125</f>
        <v>14562.609599999996</v>
      </c>
      <c r="X89" s="16">
        <f>SUM(T89:W89)</f>
        <v>19659.522959999995</v>
      </c>
    </row>
    <row r="90" spans="2:24" ht="14" customHeight="1" x14ac:dyDescent="0.3">
      <c r="B90" s="10" t="s">
        <v>159</v>
      </c>
      <c r="C90" s="196">
        <f>SUM(C85,C88)</f>
        <v>0</v>
      </c>
      <c r="D90" s="196">
        <f t="shared" ref="D90:N90" si="23">SUM(D85,D88)</f>
        <v>0</v>
      </c>
      <c r="E90" s="196">
        <f t="shared" si="23"/>
        <v>0</v>
      </c>
      <c r="F90" s="196">
        <f t="shared" si="23"/>
        <v>0</v>
      </c>
      <c r="G90" s="196">
        <f t="shared" si="23"/>
        <v>0</v>
      </c>
      <c r="H90" s="196">
        <f t="shared" si="23"/>
        <v>0</v>
      </c>
      <c r="I90" s="196">
        <f t="shared" si="23"/>
        <v>0</v>
      </c>
      <c r="J90" s="196">
        <f t="shared" si="23"/>
        <v>0</v>
      </c>
      <c r="K90" s="196">
        <f t="shared" si="23"/>
        <v>0</v>
      </c>
      <c r="L90" s="196">
        <f t="shared" si="23"/>
        <v>0</v>
      </c>
      <c r="M90" s="196">
        <f t="shared" si="23"/>
        <v>0</v>
      </c>
      <c r="N90" s="196">
        <f t="shared" si="23"/>
        <v>0</v>
      </c>
      <c r="O90" s="197">
        <f>SUM(C90:N90)</f>
        <v>0</v>
      </c>
      <c r="Q90" s="97"/>
      <c r="R90" s="10" t="s">
        <v>159</v>
      </c>
      <c r="T90" s="196">
        <f>SUM(T85,T88)</f>
        <v>0</v>
      </c>
      <c r="U90" s="196">
        <f>SUM(U85,U88)</f>
        <v>273874.26589907985</v>
      </c>
      <c r="V90" s="196">
        <f>SUM(V85,V88)</f>
        <v>1232434.1965458596</v>
      </c>
      <c r="W90" s="196">
        <f>SUM(W85,W88)</f>
        <v>3081085.4913646486</v>
      </c>
      <c r="X90" s="197">
        <f>SUM(T90:W90)</f>
        <v>4587393.9538095882</v>
      </c>
    </row>
    <row r="91" spans="2:24" ht="14" customHeight="1" x14ac:dyDescent="0.3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Q91" s="97"/>
      <c r="S91" s="43"/>
      <c r="T91" s="43"/>
      <c r="U91" s="43"/>
      <c r="V91" s="43"/>
      <c r="W91" s="101"/>
    </row>
    <row r="92" spans="2:24" ht="14" customHeight="1" x14ac:dyDescent="0.3">
      <c r="B92" s="7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Q92" s="97"/>
      <c r="R92" s="7"/>
      <c r="S92" s="44"/>
      <c r="T92" s="44"/>
      <c r="U92" s="44"/>
      <c r="V92" s="44"/>
      <c r="W92" s="102"/>
    </row>
    <row r="93" spans="2:24" ht="14" customHeight="1" x14ac:dyDescent="0.3">
      <c r="B93" s="7" t="s">
        <v>168</v>
      </c>
      <c r="Q93" s="97"/>
      <c r="R93" s="7" t="s">
        <v>166</v>
      </c>
      <c r="W93" s="1"/>
    </row>
    <row r="94" spans="2:24" ht="14" customHeight="1" x14ac:dyDescent="0.3">
      <c r="B94" s="17"/>
      <c r="C94" s="105" t="s">
        <v>139</v>
      </c>
      <c r="D94" s="105" t="s">
        <v>140</v>
      </c>
      <c r="E94" s="105" t="s">
        <v>141</v>
      </c>
      <c r="F94" s="105" t="s">
        <v>142</v>
      </c>
      <c r="G94" s="105" t="s">
        <v>143</v>
      </c>
      <c r="H94" s="105" t="s">
        <v>144</v>
      </c>
      <c r="I94" s="105" t="s">
        <v>145</v>
      </c>
      <c r="J94" s="105" t="s">
        <v>146</v>
      </c>
      <c r="K94" s="105" t="s">
        <v>147</v>
      </c>
      <c r="L94" s="105" t="s">
        <v>148</v>
      </c>
      <c r="M94" s="105" t="s">
        <v>149</v>
      </c>
      <c r="N94" s="105" t="s">
        <v>150</v>
      </c>
      <c r="O94" s="105" t="s">
        <v>16</v>
      </c>
      <c r="P94" s="5"/>
      <c r="Q94" s="100"/>
      <c r="R94" s="17"/>
      <c r="T94" s="105">
        <v>2020</v>
      </c>
      <c r="U94" s="105">
        <v>2021</v>
      </c>
      <c r="V94" s="105">
        <v>2022</v>
      </c>
      <c r="W94" s="105">
        <v>2023</v>
      </c>
      <c r="X94" s="105" t="s">
        <v>16</v>
      </c>
    </row>
    <row r="95" spans="2:24" ht="14" customHeight="1" x14ac:dyDescent="0.3">
      <c r="B95" s="8" t="s">
        <v>27</v>
      </c>
      <c r="C95" s="45">
        <f>C89</f>
        <v>0</v>
      </c>
      <c r="D95" s="45">
        <f t="shared" ref="D95:N95" si="24">D89</f>
        <v>0</v>
      </c>
      <c r="E95" s="45">
        <f t="shared" si="24"/>
        <v>0</v>
      </c>
      <c r="F95" s="45">
        <f t="shared" si="24"/>
        <v>0</v>
      </c>
      <c r="G95" s="45">
        <f t="shared" si="24"/>
        <v>0</v>
      </c>
      <c r="H95" s="45">
        <f t="shared" si="24"/>
        <v>0</v>
      </c>
      <c r="I95" s="45">
        <f t="shared" si="24"/>
        <v>0</v>
      </c>
      <c r="J95" s="45">
        <f t="shared" si="24"/>
        <v>0</v>
      </c>
      <c r="K95" s="45">
        <f t="shared" si="24"/>
        <v>0</v>
      </c>
      <c r="L95" s="45">
        <f t="shared" si="24"/>
        <v>0</v>
      </c>
      <c r="M95" s="45">
        <f t="shared" si="24"/>
        <v>0</v>
      </c>
      <c r="N95" s="45">
        <f t="shared" si="24"/>
        <v>0</v>
      </c>
      <c r="O95" s="18">
        <f>SUM(C95:N95)</f>
        <v>0</v>
      </c>
      <c r="P95" s="5"/>
      <c r="Q95" s="100"/>
      <c r="R95" s="8" t="s">
        <v>27</v>
      </c>
      <c r="T95" s="45">
        <f>T89</f>
        <v>0</v>
      </c>
      <c r="U95" s="45">
        <f>U89</f>
        <v>728.13047999999981</v>
      </c>
      <c r="V95" s="45">
        <f>V89</f>
        <v>4368.7828799999988</v>
      </c>
      <c r="W95" s="45">
        <f>W89</f>
        <v>14562.609599999996</v>
      </c>
      <c r="X95" s="45">
        <f>SUM(T95:W95)</f>
        <v>19659.522959999995</v>
      </c>
    </row>
    <row r="96" spans="2:24" ht="14" customHeight="1" x14ac:dyDescent="0.3">
      <c r="B96" s="8" t="s">
        <v>37</v>
      </c>
      <c r="C96" s="198">
        <f>Assumptions!$O$94</f>
        <v>408</v>
      </c>
      <c r="D96" s="198">
        <f>Assumptions!$O$94</f>
        <v>408</v>
      </c>
      <c r="E96" s="198">
        <f>Assumptions!$O$94</f>
        <v>408</v>
      </c>
      <c r="F96" s="198">
        <f>Assumptions!$O$94</f>
        <v>408</v>
      </c>
      <c r="G96" s="198">
        <f>Assumptions!$O$94</f>
        <v>408</v>
      </c>
      <c r="H96" s="198">
        <f>Assumptions!$O$94</f>
        <v>408</v>
      </c>
      <c r="I96" s="198">
        <f>Assumptions!$O$94</f>
        <v>408</v>
      </c>
      <c r="J96" s="198">
        <f>Assumptions!$O$94</f>
        <v>408</v>
      </c>
      <c r="K96" s="198">
        <f>Assumptions!$O$94</f>
        <v>408</v>
      </c>
      <c r="L96" s="198">
        <f>Assumptions!$O$94</f>
        <v>408</v>
      </c>
      <c r="M96" s="198">
        <f>Assumptions!$O$94</f>
        <v>408</v>
      </c>
      <c r="N96" s="198">
        <f>Assumptions!$O$94</f>
        <v>408</v>
      </c>
      <c r="O96" s="199"/>
      <c r="P96" s="5"/>
      <c r="Q96" s="100"/>
      <c r="R96" s="8" t="s">
        <v>37</v>
      </c>
      <c r="T96" s="198">
        <f>Assumptions!O94</f>
        <v>408</v>
      </c>
      <c r="U96" s="198">
        <f>Assumptions!P94</f>
        <v>346.8</v>
      </c>
      <c r="V96" s="198">
        <f>Assumptions!Q94</f>
        <v>260.10000000000002</v>
      </c>
      <c r="W96" s="198">
        <f>Assumptions!R94</f>
        <v>195.07500000000002</v>
      </c>
      <c r="X96" s="198"/>
    </row>
    <row r="97" spans="2:26" ht="14" customHeight="1" x14ac:dyDescent="0.3">
      <c r="B97" s="10" t="s">
        <v>159</v>
      </c>
      <c r="C97" s="200">
        <f t="shared" ref="C97:N97" si="25">C96*C95</f>
        <v>0</v>
      </c>
      <c r="D97" s="200">
        <f t="shared" si="25"/>
        <v>0</v>
      </c>
      <c r="E97" s="200">
        <f t="shared" si="25"/>
        <v>0</v>
      </c>
      <c r="F97" s="200">
        <f t="shared" si="25"/>
        <v>0</v>
      </c>
      <c r="G97" s="200">
        <f t="shared" si="25"/>
        <v>0</v>
      </c>
      <c r="H97" s="200">
        <f t="shared" si="25"/>
        <v>0</v>
      </c>
      <c r="I97" s="200">
        <f t="shared" si="25"/>
        <v>0</v>
      </c>
      <c r="J97" s="200">
        <f t="shared" si="25"/>
        <v>0</v>
      </c>
      <c r="K97" s="200">
        <f t="shared" si="25"/>
        <v>0</v>
      </c>
      <c r="L97" s="200">
        <f t="shared" si="25"/>
        <v>0</v>
      </c>
      <c r="M97" s="200">
        <f t="shared" si="25"/>
        <v>0</v>
      </c>
      <c r="N97" s="200">
        <f t="shared" si="25"/>
        <v>0</v>
      </c>
      <c r="O97" s="201">
        <f>SUM(C97:N97)</f>
        <v>0</v>
      </c>
      <c r="P97" s="5"/>
      <c r="Q97" s="100"/>
      <c r="R97" s="10" t="s">
        <v>159</v>
      </c>
      <c r="T97" s="200">
        <f>T96*T95</f>
        <v>0</v>
      </c>
      <c r="U97" s="200">
        <f>U96*U95</f>
        <v>252515.65046399995</v>
      </c>
      <c r="V97" s="200">
        <f>V96*V95</f>
        <v>1136320.4270879999</v>
      </c>
      <c r="W97" s="200">
        <f>W96*W95</f>
        <v>2840801.0677199997</v>
      </c>
      <c r="X97" s="201">
        <f>SUM(T97:W97)</f>
        <v>4229637.1452719998</v>
      </c>
    </row>
    <row r="104" spans="2:26" ht="20" customHeight="1" x14ac:dyDescent="0.3">
      <c r="B104" s="38" t="s">
        <v>23</v>
      </c>
      <c r="C104" s="7"/>
    </row>
    <row r="106" spans="2:26" ht="14" customHeight="1" x14ac:dyDescent="0.3">
      <c r="B106" s="7" t="s">
        <v>167</v>
      </c>
      <c r="M106" s="1"/>
      <c r="N106" s="1"/>
      <c r="O106" s="1"/>
      <c r="P106" s="6"/>
      <c r="Q106" s="94"/>
      <c r="R106" s="7" t="s">
        <v>164</v>
      </c>
    </row>
    <row r="107" spans="2:26" ht="14" customHeight="1" x14ac:dyDescent="0.3">
      <c r="C107" s="108" t="s">
        <v>139</v>
      </c>
      <c r="D107" s="108" t="s">
        <v>140</v>
      </c>
      <c r="E107" s="108" t="s">
        <v>141</v>
      </c>
      <c r="F107" s="108" t="s">
        <v>142</v>
      </c>
      <c r="G107" s="108" t="s">
        <v>143</v>
      </c>
      <c r="H107" s="108" t="s">
        <v>144</v>
      </c>
      <c r="I107" s="108" t="s">
        <v>145</v>
      </c>
      <c r="J107" s="108" t="s">
        <v>146</v>
      </c>
      <c r="K107" s="108" t="s">
        <v>147</v>
      </c>
      <c r="L107" s="108" t="s">
        <v>148</v>
      </c>
      <c r="M107" s="108" t="s">
        <v>149</v>
      </c>
      <c r="N107" s="108" t="s">
        <v>150</v>
      </c>
      <c r="O107" s="108" t="s">
        <v>16</v>
      </c>
      <c r="P107" s="6"/>
      <c r="Q107" s="94"/>
      <c r="R107" s="20" t="s">
        <v>34</v>
      </c>
      <c r="T107" s="108">
        <v>2020</v>
      </c>
      <c r="U107" s="108">
        <v>2021</v>
      </c>
      <c r="V107" s="108">
        <v>2022</v>
      </c>
      <c r="W107" s="108">
        <v>2023</v>
      </c>
      <c r="X107" s="108" t="s">
        <v>16</v>
      </c>
      <c r="Z107" s="8"/>
    </row>
    <row r="108" spans="2:26" ht="14" customHeight="1" x14ac:dyDescent="0.3">
      <c r="B108" s="8" t="s">
        <v>26</v>
      </c>
      <c r="C108" s="175">
        <f>C124</f>
        <v>0</v>
      </c>
      <c r="D108" s="175">
        <f t="shared" ref="D108:N108" si="26">D124</f>
        <v>0</v>
      </c>
      <c r="E108" s="175">
        <f t="shared" si="26"/>
        <v>0</v>
      </c>
      <c r="F108" s="175">
        <f t="shared" si="26"/>
        <v>0</v>
      </c>
      <c r="G108" s="175">
        <f t="shared" si="26"/>
        <v>0</v>
      </c>
      <c r="H108" s="175">
        <f t="shared" si="26"/>
        <v>0</v>
      </c>
      <c r="I108" s="175">
        <f t="shared" si="26"/>
        <v>0</v>
      </c>
      <c r="J108" s="175">
        <f t="shared" si="26"/>
        <v>0</v>
      </c>
      <c r="K108" s="175">
        <f t="shared" si="26"/>
        <v>0</v>
      </c>
      <c r="L108" s="175">
        <f t="shared" si="26"/>
        <v>0</v>
      </c>
      <c r="M108" s="175">
        <f t="shared" si="26"/>
        <v>0</v>
      </c>
      <c r="N108" s="175">
        <f t="shared" si="26"/>
        <v>0</v>
      </c>
      <c r="O108" s="181">
        <f>SUM(C108:N108)</f>
        <v>0</v>
      </c>
      <c r="P108" s="4"/>
      <c r="Q108" s="95"/>
      <c r="R108" s="8" t="s">
        <v>26</v>
      </c>
      <c r="T108" s="175">
        <f>O124</f>
        <v>0</v>
      </c>
      <c r="U108" s="175">
        <f>U124</f>
        <v>155705.89068367195</v>
      </c>
      <c r="V108" s="175">
        <f>V124</f>
        <v>700676.50807652366</v>
      </c>
      <c r="W108" s="175">
        <f>X124</f>
        <v>2608073.6689515049</v>
      </c>
      <c r="X108" s="175">
        <f>X124</f>
        <v>2608073.6689515049</v>
      </c>
      <c r="Z108" s="8"/>
    </row>
    <row r="109" spans="2:26" ht="14" customHeight="1" x14ac:dyDescent="0.3">
      <c r="B109" s="8" t="s">
        <v>27</v>
      </c>
      <c r="C109" s="203">
        <f>C131</f>
        <v>0</v>
      </c>
      <c r="D109" s="203">
        <f t="shared" ref="D109:N109" si="27">D131</f>
        <v>0</v>
      </c>
      <c r="E109" s="203">
        <f t="shared" si="27"/>
        <v>0</v>
      </c>
      <c r="F109" s="203">
        <f t="shared" si="27"/>
        <v>0</v>
      </c>
      <c r="G109" s="203">
        <f t="shared" si="27"/>
        <v>0</v>
      </c>
      <c r="H109" s="203">
        <f t="shared" si="27"/>
        <v>0</v>
      </c>
      <c r="I109" s="203">
        <f t="shared" si="27"/>
        <v>0</v>
      </c>
      <c r="J109" s="203">
        <f t="shared" si="27"/>
        <v>0</v>
      </c>
      <c r="K109" s="203">
        <f t="shared" si="27"/>
        <v>0</v>
      </c>
      <c r="L109" s="203">
        <f t="shared" si="27"/>
        <v>0</v>
      </c>
      <c r="M109" s="203">
        <f t="shared" si="27"/>
        <v>0</v>
      </c>
      <c r="N109" s="203">
        <f t="shared" si="27"/>
        <v>0</v>
      </c>
      <c r="O109" s="203">
        <f>SUM(C109:N109)</f>
        <v>0</v>
      </c>
      <c r="P109" s="6"/>
      <c r="Q109" s="96"/>
      <c r="R109" s="8" t="s">
        <v>27</v>
      </c>
      <c r="T109" s="203">
        <f>O131</f>
        <v>0</v>
      </c>
      <c r="U109" s="203">
        <f>U131</f>
        <v>143562.86501759998</v>
      </c>
      <c r="V109" s="203">
        <f>V131</f>
        <v>646032.89257919986</v>
      </c>
      <c r="W109" s="203">
        <f>X131</f>
        <v>2404677.9890447995</v>
      </c>
      <c r="X109" s="203">
        <f>X131</f>
        <v>2404677.9890447995</v>
      </c>
      <c r="Z109" s="8"/>
    </row>
    <row r="110" spans="2:26" s="7" customFormat="1" ht="14" customHeight="1" x14ac:dyDescent="0.3">
      <c r="B110" s="10" t="s">
        <v>159</v>
      </c>
      <c r="C110" s="223">
        <f>SUM(C108:C109)</f>
        <v>0</v>
      </c>
      <c r="D110" s="223">
        <f t="shared" ref="D110:N110" si="28">SUM(D108:D109)</f>
        <v>0</v>
      </c>
      <c r="E110" s="223">
        <f t="shared" si="28"/>
        <v>0</v>
      </c>
      <c r="F110" s="223">
        <f t="shared" si="28"/>
        <v>0</v>
      </c>
      <c r="G110" s="223">
        <f t="shared" si="28"/>
        <v>0</v>
      </c>
      <c r="H110" s="223">
        <f t="shared" si="28"/>
        <v>0</v>
      </c>
      <c r="I110" s="223">
        <f t="shared" si="28"/>
        <v>0</v>
      </c>
      <c r="J110" s="223">
        <f t="shared" si="28"/>
        <v>0</v>
      </c>
      <c r="K110" s="223">
        <f t="shared" si="28"/>
        <v>0</v>
      </c>
      <c r="L110" s="223">
        <f t="shared" si="28"/>
        <v>0</v>
      </c>
      <c r="M110" s="223">
        <f t="shared" si="28"/>
        <v>0</v>
      </c>
      <c r="N110" s="223">
        <f t="shared" si="28"/>
        <v>0</v>
      </c>
      <c r="O110" s="224">
        <f>SUM(C110:N110)</f>
        <v>0</v>
      </c>
      <c r="P110" s="110"/>
      <c r="Q110" s="96"/>
      <c r="R110" s="10" t="s">
        <v>159</v>
      </c>
      <c r="T110" s="223">
        <f>SUM(T108:T109)</f>
        <v>0</v>
      </c>
      <c r="U110" s="223">
        <f>SUM(U108:U109)</f>
        <v>299268.75570127193</v>
      </c>
      <c r="V110" s="223">
        <f>SUM(V108:V109)</f>
        <v>1346709.4006557236</v>
      </c>
      <c r="W110" s="223">
        <f>SUM(W108:W109)</f>
        <v>5012751.6579963043</v>
      </c>
      <c r="X110" s="224">
        <f>SUM(X108:X109)</f>
        <v>5012751.6579963043</v>
      </c>
      <c r="Y110" s="10"/>
      <c r="Z110" s="10"/>
    </row>
    <row r="111" spans="2:26" ht="14" customHeight="1" x14ac:dyDescent="0.3">
      <c r="B111" s="6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1"/>
      <c r="P111" s="6"/>
      <c r="Q111" s="94"/>
      <c r="R111" s="6"/>
      <c r="S111" s="1"/>
      <c r="T111" s="1"/>
      <c r="U111" s="1"/>
      <c r="V111" s="1"/>
    </row>
    <row r="112" spans="2:26" ht="14" customHeight="1" x14ac:dyDescent="0.3">
      <c r="C112" s="42"/>
      <c r="D112" s="42"/>
      <c r="E112" s="42"/>
      <c r="F112" s="42"/>
      <c r="G112" s="42"/>
      <c r="Q112" s="97"/>
    </row>
    <row r="113" spans="2:26" ht="14" customHeight="1" x14ac:dyDescent="0.3">
      <c r="C113" s="42"/>
      <c r="D113" s="42"/>
      <c r="E113" s="42"/>
      <c r="F113" s="42"/>
      <c r="G113" s="42"/>
      <c r="Q113" s="97"/>
    </row>
    <row r="114" spans="2:26" ht="14" customHeight="1" x14ac:dyDescent="0.3">
      <c r="Q114" s="97"/>
      <c r="R114" s="6"/>
      <c r="S114" s="1"/>
      <c r="T114" s="1"/>
      <c r="U114" s="1"/>
    </row>
    <row r="115" spans="2:26" ht="14" customHeight="1" x14ac:dyDescent="0.3">
      <c r="B115" s="7" t="s">
        <v>170</v>
      </c>
      <c r="Q115" s="97"/>
      <c r="R115" s="7" t="s">
        <v>165</v>
      </c>
    </row>
    <row r="116" spans="2:26" ht="14" customHeight="1" x14ac:dyDescent="0.3">
      <c r="B116" s="12"/>
      <c r="C116" s="108" t="s">
        <v>139</v>
      </c>
      <c r="D116" s="108" t="s">
        <v>140</v>
      </c>
      <c r="E116" s="108" t="s">
        <v>141</v>
      </c>
      <c r="F116" s="108" t="s">
        <v>142</v>
      </c>
      <c r="G116" s="108" t="s">
        <v>143</v>
      </c>
      <c r="H116" s="108" t="s">
        <v>144</v>
      </c>
      <c r="I116" s="108" t="s">
        <v>145</v>
      </c>
      <c r="J116" s="108" t="s">
        <v>146</v>
      </c>
      <c r="K116" s="108" t="s">
        <v>147</v>
      </c>
      <c r="L116" s="108" t="s">
        <v>148</v>
      </c>
      <c r="M116" s="108" t="s">
        <v>149</v>
      </c>
      <c r="N116" s="108" t="s">
        <v>150</v>
      </c>
      <c r="O116" s="108" t="s">
        <v>16</v>
      </c>
      <c r="P116" s="4"/>
      <c r="Q116" s="97"/>
      <c r="R116" s="12"/>
      <c r="T116" s="108">
        <v>2020</v>
      </c>
      <c r="U116" s="108">
        <v>2021</v>
      </c>
      <c r="V116" s="108">
        <v>2022</v>
      </c>
      <c r="W116" s="108">
        <v>2023</v>
      </c>
      <c r="X116" s="108" t="s">
        <v>16</v>
      </c>
      <c r="Z116" s="8"/>
    </row>
    <row r="117" spans="2:26" ht="14" customHeight="1" x14ac:dyDescent="0.3">
      <c r="B117" s="10" t="s">
        <v>123</v>
      </c>
      <c r="C117" s="13">
        <f>Assumptions!$F$102*'Cost of Sales'!C123</f>
        <v>0</v>
      </c>
      <c r="D117" s="13">
        <f>Assumptions!$F$102*'Cost of Sales'!D123</f>
        <v>0</v>
      </c>
      <c r="E117" s="13">
        <f>Assumptions!$F$102*'Cost of Sales'!E123</f>
        <v>0</v>
      </c>
      <c r="F117" s="13">
        <f>Assumptions!$F$102*'Cost of Sales'!F123</f>
        <v>0</v>
      </c>
      <c r="G117" s="13">
        <f>Assumptions!$F$102*'Cost of Sales'!G123</f>
        <v>0</v>
      </c>
      <c r="H117" s="13">
        <f>Assumptions!$F$102*'Cost of Sales'!H123</f>
        <v>0</v>
      </c>
      <c r="I117" s="13">
        <f>Assumptions!$F$102*'Cost of Sales'!I123</f>
        <v>0</v>
      </c>
      <c r="J117" s="13">
        <f>Assumptions!$F$102*'Cost of Sales'!J123</f>
        <v>0</v>
      </c>
      <c r="K117" s="13">
        <f>Assumptions!$F$102*'Cost of Sales'!K123</f>
        <v>0</v>
      </c>
      <c r="L117" s="13">
        <f>Assumptions!$F$102*'Cost of Sales'!L123</f>
        <v>0</v>
      </c>
      <c r="M117" s="13">
        <f>Assumptions!$F$102*'Cost of Sales'!M123</f>
        <v>0</v>
      </c>
      <c r="N117" s="13">
        <f>Assumptions!$F$102*'Cost of Sales'!N123</f>
        <v>0</v>
      </c>
      <c r="O117" s="13">
        <f>SUM(C117:N117)</f>
        <v>0</v>
      </c>
      <c r="Q117" s="97"/>
      <c r="R117" s="10" t="s">
        <v>123</v>
      </c>
      <c r="T117" s="171">
        <f>O117</f>
        <v>0</v>
      </c>
      <c r="U117" s="171">
        <f>Assumptions!G102*'Cost of Sales'!U123</f>
        <v>248.37865919999996</v>
      </c>
      <c r="V117" s="171">
        <f>Assumptions!H102*'Cost of Sales'!V123</f>
        <v>1490.2719551999996</v>
      </c>
      <c r="W117" s="171">
        <f>Assumptions!I102*'Cost of Sales'!W123</f>
        <v>4967.5731839999989</v>
      </c>
      <c r="X117" s="171">
        <f>SUM(T117:W117)</f>
        <v>6706.2237983999985</v>
      </c>
      <c r="Z117" s="8"/>
    </row>
    <row r="118" spans="2:26" ht="14" customHeight="1" x14ac:dyDescent="0.3">
      <c r="B118" s="8" t="s">
        <v>36</v>
      </c>
      <c r="C118" s="203">
        <f>Assumptions!$O$105</f>
        <v>476.84999999999997</v>
      </c>
      <c r="D118" s="203">
        <f>Assumptions!$O$105</f>
        <v>476.84999999999997</v>
      </c>
      <c r="E118" s="203">
        <f>Assumptions!$O$105</f>
        <v>476.84999999999997</v>
      </c>
      <c r="F118" s="203">
        <f>Assumptions!$O$105</f>
        <v>476.84999999999997</v>
      </c>
      <c r="G118" s="203">
        <f>Assumptions!$O$105</f>
        <v>476.84999999999997</v>
      </c>
      <c r="H118" s="203">
        <f>Assumptions!$O$105</f>
        <v>476.84999999999997</v>
      </c>
      <c r="I118" s="203">
        <f>Assumptions!$O$105</f>
        <v>476.84999999999997</v>
      </c>
      <c r="J118" s="203">
        <f>Assumptions!$O$105</f>
        <v>476.84999999999997</v>
      </c>
      <c r="K118" s="203">
        <f>Assumptions!$O$105</f>
        <v>476.84999999999997</v>
      </c>
      <c r="L118" s="203">
        <f>Assumptions!$O$105</f>
        <v>476.84999999999997</v>
      </c>
      <c r="M118" s="203">
        <f>Assumptions!$O$105</f>
        <v>476.84999999999997</v>
      </c>
      <c r="N118" s="203">
        <f>Assumptions!$O$105</f>
        <v>476.84999999999997</v>
      </c>
      <c r="O118" s="203"/>
      <c r="Q118" s="97"/>
      <c r="R118" s="8" t="s">
        <v>36</v>
      </c>
      <c r="T118" s="203">
        <f>Assumptions!O105</f>
        <v>476.84999999999997</v>
      </c>
      <c r="U118" s="203">
        <f>Assumptions!P105</f>
        <v>405.32249999999993</v>
      </c>
      <c r="V118" s="203">
        <f>Assumptions!Q105</f>
        <v>303.99187499999994</v>
      </c>
      <c r="W118" s="203">
        <f>Assumptions!R105</f>
        <v>227.99390624999995</v>
      </c>
      <c r="X118" s="203"/>
      <c r="Z118" s="8"/>
    </row>
    <row r="119" spans="2:26" ht="14" customHeight="1" x14ac:dyDescent="0.3">
      <c r="B119" s="8" t="s">
        <v>161</v>
      </c>
      <c r="C119" s="175">
        <f t="shared" ref="C119:N119" si="29">C117*C118</f>
        <v>0</v>
      </c>
      <c r="D119" s="175">
        <f t="shared" si="29"/>
        <v>0</v>
      </c>
      <c r="E119" s="175">
        <f t="shared" si="29"/>
        <v>0</v>
      </c>
      <c r="F119" s="175">
        <f t="shared" si="29"/>
        <v>0</v>
      </c>
      <c r="G119" s="175">
        <f t="shared" si="29"/>
        <v>0</v>
      </c>
      <c r="H119" s="175">
        <f t="shared" si="29"/>
        <v>0</v>
      </c>
      <c r="I119" s="175">
        <f t="shared" si="29"/>
        <v>0</v>
      </c>
      <c r="J119" s="175">
        <f t="shared" si="29"/>
        <v>0</v>
      </c>
      <c r="K119" s="175">
        <f t="shared" si="29"/>
        <v>0</v>
      </c>
      <c r="L119" s="175">
        <f t="shared" si="29"/>
        <v>0</v>
      </c>
      <c r="M119" s="175">
        <f t="shared" si="29"/>
        <v>0</v>
      </c>
      <c r="N119" s="175">
        <f t="shared" si="29"/>
        <v>0</v>
      </c>
      <c r="O119" s="175">
        <f>SUM(C119:N119)</f>
        <v>0</v>
      </c>
      <c r="Q119" s="97"/>
      <c r="R119" s="8" t="s">
        <v>161</v>
      </c>
      <c r="T119" s="175">
        <f>T117*T118</f>
        <v>0</v>
      </c>
      <c r="U119" s="175">
        <f>U117*U118</f>
        <v>100673.45909359197</v>
      </c>
      <c r="V119" s="175">
        <f>V117*V118</f>
        <v>453030.56592116377</v>
      </c>
      <c r="W119" s="175">
        <f>W117*W118</f>
        <v>1132576.4148029096</v>
      </c>
      <c r="X119" s="175">
        <f>SUM(T119:W119)</f>
        <v>1686280.4398176654</v>
      </c>
      <c r="Z119" s="8"/>
    </row>
    <row r="120" spans="2:26" ht="14" customHeight="1" x14ac:dyDescent="0.3">
      <c r="B120" s="10" t="s">
        <v>124</v>
      </c>
      <c r="C120" s="111">
        <f>Assumptions!$F$103*'Cost of Sales'!C123</f>
        <v>0</v>
      </c>
      <c r="D120" s="111">
        <f>Assumptions!$F$103*'Cost of Sales'!D123</f>
        <v>0</v>
      </c>
      <c r="E120" s="111">
        <f>Assumptions!$F$103*'Cost of Sales'!E123</f>
        <v>0</v>
      </c>
      <c r="F120" s="111">
        <f>Assumptions!$F$103*'Cost of Sales'!F123</f>
        <v>0</v>
      </c>
      <c r="G120" s="111">
        <f>Assumptions!$F$103*'Cost of Sales'!G123</f>
        <v>0</v>
      </c>
      <c r="H120" s="111">
        <f>Assumptions!$F$103*'Cost of Sales'!H123</f>
        <v>0</v>
      </c>
      <c r="I120" s="111">
        <f>Assumptions!$F$103*'Cost of Sales'!I123</f>
        <v>0</v>
      </c>
      <c r="J120" s="111">
        <f>Assumptions!$F$103*'Cost of Sales'!J123</f>
        <v>0</v>
      </c>
      <c r="K120" s="111">
        <f>Assumptions!$F$103*'Cost of Sales'!K123</f>
        <v>0</v>
      </c>
      <c r="L120" s="111">
        <f>Assumptions!$F$103*'Cost of Sales'!L123</f>
        <v>0</v>
      </c>
      <c r="M120" s="111">
        <f>Assumptions!$F$103*'Cost of Sales'!M123</f>
        <v>0</v>
      </c>
      <c r="N120" s="111">
        <f>Assumptions!$F$103*'Cost of Sales'!N123</f>
        <v>0</v>
      </c>
      <c r="O120" s="111">
        <f>SUM(C120:N120)</f>
        <v>0</v>
      </c>
      <c r="P120" s="8"/>
      <c r="Q120" s="98"/>
      <c r="R120" s="10" t="s">
        <v>124</v>
      </c>
      <c r="T120" s="210">
        <f>O120</f>
        <v>0</v>
      </c>
      <c r="U120" s="210">
        <f>Assumptions!F103*'Cost of Sales'!U123</f>
        <v>165.58577279999997</v>
      </c>
      <c r="V120" s="210">
        <f>Assumptions!G103*'Cost of Sales'!V123</f>
        <v>993.51463679999983</v>
      </c>
      <c r="W120" s="210">
        <f>Assumptions!H103*'Cost of Sales'!W123</f>
        <v>3311.7154559999999</v>
      </c>
      <c r="X120" s="210">
        <f>SUM(T120:W120)</f>
        <v>4470.8158655999996</v>
      </c>
      <c r="Z120" s="8"/>
    </row>
    <row r="121" spans="2:26" ht="14" customHeight="1" x14ac:dyDescent="0.3">
      <c r="B121" s="8" t="s">
        <v>36</v>
      </c>
      <c r="C121" s="175">
        <f>Assumptions!$O$106</f>
        <v>391</v>
      </c>
      <c r="D121" s="175">
        <f>Assumptions!$O$106</f>
        <v>391</v>
      </c>
      <c r="E121" s="175">
        <f>Assumptions!$O$106</f>
        <v>391</v>
      </c>
      <c r="F121" s="175">
        <f>Assumptions!$O$106</f>
        <v>391</v>
      </c>
      <c r="G121" s="175">
        <f>Assumptions!$O$106</f>
        <v>391</v>
      </c>
      <c r="H121" s="175">
        <f>Assumptions!$O$106</f>
        <v>391</v>
      </c>
      <c r="I121" s="175">
        <f>Assumptions!$O$106</f>
        <v>391</v>
      </c>
      <c r="J121" s="175">
        <f>Assumptions!$O$106</f>
        <v>391</v>
      </c>
      <c r="K121" s="175">
        <f>Assumptions!$O$106</f>
        <v>391</v>
      </c>
      <c r="L121" s="175">
        <f>Assumptions!$O$106</f>
        <v>391</v>
      </c>
      <c r="M121" s="175">
        <f>Assumptions!$O$106</f>
        <v>391</v>
      </c>
      <c r="N121" s="175">
        <f>Assumptions!$O$106</f>
        <v>391</v>
      </c>
      <c r="O121" s="175"/>
      <c r="P121" s="8"/>
      <c r="Q121" s="98"/>
      <c r="R121" s="8" t="s">
        <v>36</v>
      </c>
      <c r="T121" s="175">
        <f>Assumptions!O106</f>
        <v>391</v>
      </c>
      <c r="U121" s="175">
        <f>Assumptions!P106</f>
        <v>332.34999999999997</v>
      </c>
      <c r="V121" s="175">
        <f>Assumptions!Q106</f>
        <v>249.26249999999999</v>
      </c>
      <c r="W121" s="175">
        <f>Assumptions!R106</f>
        <v>186.94687499999998</v>
      </c>
      <c r="X121" s="175"/>
      <c r="Z121" s="8"/>
    </row>
    <row r="122" spans="2:26" ht="14" customHeight="1" x14ac:dyDescent="0.3">
      <c r="B122" s="8" t="s">
        <v>162</v>
      </c>
      <c r="C122" s="203">
        <f t="shared" ref="C122:N122" si="30">C120*C121</f>
        <v>0</v>
      </c>
      <c r="D122" s="203">
        <f t="shared" si="30"/>
        <v>0</v>
      </c>
      <c r="E122" s="203">
        <f t="shared" si="30"/>
        <v>0</v>
      </c>
      <c r="F122" s="203">
        <f t="shared" si="30"/>
        <v>0</v>
      </c>
      <c r="G122" s="203">
        <f t="shared" si="30"/>
        <v>0</v>
      </c>
      <c r="H122" s="203">
        <f t="shared" si="30"/>
        <v>0</v>
      </c>
      <c r="I122" s="203">
        <f t="shared" si="30"/>
        <v>0</v>
      </c>
      <c r="J122" s="203">
        <f t="shared" si="30"/>
        <v>0</v>
      </c>
      <c r="K122" s="203">
        <f t="shared" si="30"/>
        <v>0</v>
      </c>
      <c r="L122" s="203">
        <f t="shared" si="30"/>
        <v>0</v>
      </c>
      <c r="M122" s="203">
        <f t="shared" si="30"/>
        <v>0</v>
      </c>
      <c r="N122" s="203">
        <f t="shared" si="30"/>
        <v>0</v>
      </c>
      <c r="O122" s="203">
        <f>SUM(C122:N122)</f>
        <v>0</v>
      </c>
      <c r="P122" s="8"/>
      <c r="Q122" s="98"/>
      <c r="R122" s="8" t="s">
        <v>162</v>
      </c>
      <c r="T122" s="203">
        <f>T120*T121</f>
        <v>0</v>
      </c>
      <c r="U122" s="203">
        <f>U120*U121</f>
        <v>55032.431590079985</v>
      </c>
      <c r="V122" s="203">
        <f>V120*V121</f>
        <v>247645.94215535995</v>
      </c>
      <c r="W122" s="203">
        <f>W120*W121</f>
        <v>619114.85538839991</v>
      </c>
      <c r="X122" s="203">
        <f>SUM(T122:W122)</f>
        <v>921793.22913383984</v>
      </c>
      <c r="Z122" s="8"/>
    </row>
    <row r="123" spans="2:26" s="7" customFormat="1" ht="14" customHeight="1" x14ac:dyDescent="0.3">
      <c r="B123" s="10" t="s">
        <v>152</v>
      </c>
      <c r="C123" s="16">
        <f>'Forecast Sold Cars'!C165</f>
        <v>0</v>
      </c>
      <c r="D123" s="16">
        <f>'Forecast Sold Cars'!D165</f>
        <v>0</v>
      </c>
      <c r="E123" s="16">
        <f>'Forecast Sold Cars'!E165</f>
        <v>0</v>
      </c>
      <c r="F123" s="16">
        <f>'Forecast Sold Cars'!F165</f>
        <v>0</v>
      </c>
      <c r="G123" s="16">
        <f>'Forecast Sold Cars'!G165</f>
        <v>0</v>
      </c>
      <c r="H123" s="16">
        <f>'Forecast Sold Cars'!H165</f>
        <v>0</v>
      </c>
      <c r="I123" s="16">
        <f>'Forecast Sold Cars'!I165</f>
        <v>0</v>
      </c>
      <c r="J123" s="16">
        <f>'Forecast Sold Cars'!J165</f>
        <v>0</v>
      </c>
      <c r="K123" s="16">
        <f>'Forecast Sold Cars'!K165</f>
        <v>0</v>
      </c>
      <c r="L123" s="16">
        <f>'Forecast Sold Cars'!L165</f>
        <v>0</v>
      </c>
      <c r="M123" s="16">
        <f>'Forecast Sold Cars'!M165</f>
        <v>0</v>
      </c>
      <c r="N123" s="16">
        <f>'Forecast Sold Cars'!N165</f>
        <v>0</v>
      </c>
      <c r="O123" s="103">
        <f>SUM(C123:N123)</f>
        <v>0</v>
      </c>
      <c r="P123" s="109"/>
      <c r="Q123" s="112"/>
      <c r="R123" s="10" t="s">
        <v>152</v>
      </c>
      <c r="T123" s="16">
        <f>O123</f>
        <v>0</v>
      </c>
      <c r="U123" s="16">
        <f>'Forecast Sold Cars'!E175</f>
        <v>413.96443199999993</v>
      </c>
      <c r="V123" s="16">
        <f>'Forecast Sold Cars'!F175</f>
        <v>2483.7865919999995</v>
      </c>
      <c r="W123" s="16">
        <f>'Forecast Sold Cars'!G175</f>
        <v>8279.2886399999988</v>
      </c>
      <c r="X123" s="16">
        <f>SUM(T123:W123)</f>
        <v>11177.039663999998</v>
      </c>
      <c r="Y123" s="10"/>
      <c r="Z123" s="10"/>
    </row>
    <row r="124" spans="2:26" s="7" customFormat="1" ht="14" customHeight="1" x14ac:dyDescent="0.3">
      <c r="B124" s="10" t="s">
        <v>159</v>
      </c>
      <c r="C124" s="204">
        <f>SUM(C119,C122)</f>
        <v>0</v>
      </c>
      <c r="D124" s="204">
        <f t="shared" ref="D124:N124" si="31">SUM(D119,D122)</f>
        <v>0</v>
      </c>
      <c r="E124" s="204">
        <f t="shared" si="31"/>
        <v>0</v>
      </c>
      <c r="F124" s="204">
        <f t="shared" si="31"/>
        <v>0</v>
      </c>
      <c r="G124" s="204">
        <f t="shared" si="31"/>
        <v>0</v>
      </c>
      <c r="H124" s="204">
        <f t="shared" si="31"/>
        <v>0</v>
      </c>
      <c r="I124" s="204">
        <f t="shared" si="31"/>
        <v>0</v>
      </c>
      <c r="J124" s="204">
        <f t="shared" si="31"/>
        <v>0</v>
      </c>
      <c r="K124" s="204">
        <f t="shared" si="31"/>
        <v>0</v>
      </c>
      <c r="L124" s="204">
        <f t="shared" si="31"/>
        <v>0</v>
      </c>
      <c r="M124" s="204">
        <f t="shared" si="31"/>
        <v>0</v>
      </c>
      <c r="N124" s="204">
        <f t="shared" si="31"/>
        <v>0</v>
      </c>
      <c r="O124" s="205">
        <f>SUM(C124:N124)</f>
        <v>0</v>
      </c>
      <c r="Q124" s="113"/>
      <c r="R124" s="10" t="s">
        <v>159</v>
      </c>
      <c r="T124" s="204">
        <f>SUM(T119,T122)</f>
        <v>0</v>
      </c>
      <c r="U124" s="204">
        <f>SUM(U119,U122)</f>
        <v>155705.89068367195</v>
      </c>
      <c r="V124" s="204">
        <f>SUM(V119,V122)</f>
        <v>700676.50807652366</v>
      </c>
      <c r="W124" s="204">
        <f>SUM(W119,W122)</f>
        <v>1751691.2701913095</v>
      </c>
      <c r="X124" s="205">
        <f>SUM(T124:W124)</f>
        <v>2608073.6689515049</v>
      </c>
      <c r="Y124" s="10"/>
      <c r="Z124" s="10"/>
    </row>
    <row r="125" spans="2:26" ht="14" customHeight="1" x14ac:dyDescent="0.3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Q125" s="97"/>
      <c r="S125" s="43"/>
      <c r="T125" s="43"/>
      <c r="U125" s="43"/>
      <c r="V125" s="43"/>
    </row>
    <row r="126" spans="2:26" ht="14" customHeight="1" x14ac:dyDescent="0.3">
      <c r="B126" s="7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Q126" s="97"/>
      <c r="R126" s="7"/>
      <c r="S126" s="44"/>
      <c r="T126" s="44"/>
      <c r="U126" s="44"/>
      <c r="V126" s="44"/>
    </row>
    <row r="127" spans="2:26" ht="14" customHeight="1" x14ac:dyDescent="0.3">
      <c r="B127" s="7" t="s">
        <v>168</v>
      </c>
      <c r="Q127" s="97"/>
      <c r="R127" s="7" t="s">
        <v>166</v>
      </c>
    </row>
    <row r="128" spans="2:26" ht="14" customHeight="1" x14ac:dyDescent="0.3">
      <c r="B128" s="17"/>
      <c r="C128" s="108" t="s">
        <v>139</v>
      </c>
      <c r="D128" s="108" t="s">
        <v>140</v>
      </c>
      <c r="E128" s="108" t="s">
        <v>141</v>
      </c>
      <c r="F128" s="108" t="s">
        <v>142</v>
      </c>
      <c r="G128" s="108" t="s">
        <v>143</v>
      </c>
      <c r="H128" s="108" t="s">
        <v>144</v>
      </c>
      <c r="I128" s="108" t="s">
        <v>145</v>
      </c>
      <c r="J128" s="108" t="s">
        <v>146</v>
      </c>
      <c r="K128" s="108" t="s">
        <v>147</v>
      </c>
      <c r="L128" s="108" t="s">
        <v>148</v>
      </c>
      <c r="M128" s="108" t="s">
        <v>149</v>
      </c>
      <c r="N128" s="108" t="s">
        <v>150</v>
      </c>
      <c r="O128" s="108" t="s">
        <v>16</v>
      </c>
      <c r="P128" s="5"/>
      <c r="Q128" s="100"/>
      <c r="R128" s="17"/>
      <c r="T128" s="108">
        <v>2020</v>
      </c>
      <c r="U128" s="108">
        <v>2021</v>
      </c>
      <c r="V128" s="108">
        <v>2022</v>
      </c>
      <c r="W128" s="108">
        <v>2023</v>
      </c>
      <c r="X128" s="108" t="s">
        <v>16</v>
      </c>
      <c r="Z128" s="8"/>
    </row>
    <row r="129" spans="2:26" ht="14" customHeight="1" x14ac:dyDescent="0.3">
      <c r="B129" s="8" t="s">
        <v>27</v>
      </c>
      <c r="C129" s="45">
        <f>C123</f>
        <v>0</v>
      </c>
      <c r="D129" s="45">
        <f t="shared" ref="D129:N129" si="32">D123</f>
        <v>0</v>
      </c>
      <c r="E129" s="45">
        <f t="shared" si="32"/>
        <v>0</v>
      </c>
      <c r="F129" s="45">
        <f t="shared" si="32"/>
        <v>0</v>
      </c>
      <c r="G129" s="45">
        <f t="shared" si="32"/>
        <v>0</v>
      </c>
      <c r="H129" s="45">
        <f t="shared" si="32"/>
        <v>0</v>
      </c>
      <c r="I129" s="45">
        <f t="shared" si="32"/>
        <v>0</v>
      </c>
      <c r="J129" s="45">
        <f t="shared" si="32"/>
        <v>0</v>
      </c>
      <c r="K129" s="45">
        <f t="shared" si="32"/>
        <v>0</v>
      </c>
      <c r="L129" s="45">
        <f t="shared" si="32"/>
        <v>0</v>
      </c>
      <c r="M129" s="45">
        <f t="shared" si="32"/>
        <v>0</v>
      </c>
      <c r="N129" s="45">
        <f t="shared" si="32"/>
        <v>0</v>
      </c>
      <c r="O129" s="18">
        <f>SUM(C129:N129)</f>
        <v>0</v>
      </c>
      <c r="P129" s="5"/>
      <c r="Q129" s="100"/>
      <c r="R129" s="8" t="s">
        <v>27</v>
      </c>
      <c r="T129" s="45">
        <f>T123</f>
        <v>0</v>
      </c>
      <c r="U129" s="45">
        <f>U123</f>
        <v>413.96443199999993</v>
      </c>
      <c r="V129" s="45">
        <f>V123</f>
        <v>2483.7865919999995</v>
      </c>
      <c r="W129" s="45">
        <f>W123</f>
        <v>8279.2886399999988</v>
      </c>
      <c r="X129" s="45">
        <f>SUM(T129:W129)</f>
        <v>11177.039663999998</v>
      </c>
      <c r="Z129" s="8"/>
    </row>
    <row r="130" spans="2:26" ht="14" customHeight="1" x14ac:dyDescent="0.3">
      <c r="B130" s="8" t="s">
        <v>37</v>
      </c>
      <c r="C130" s="206">
        <f>Assumptions!$O$107</f>
        <v>408</v>
      </c>
      <c r="D130" s="206">
        <f>Assumptions!$O$107</f>
        <v>408</v>
      </c>
      <c r="E130" s="206">
        <f>Assumptions!$O$107</f>
        <v>408</v>
      </c>
      <c r="F130" s="206">
        <f>Assumptions!$O$107</f>
        <v>408</v>
      </c>
      <c r="G130" s="206">
        <f>Assumptions!$O$107</f>
        <v>408</v>
      </c>
      <c r="H130" s="206">
        <f>Assumptions!$O$107</f>
        <v>408</v>
      </c>
      <c r="I130" s="206">
        <f>Assumptions!$O$107</f>
        <v>408</v>
      </c>
      <c r="J130" s="206">
        <f>Assumptions!$O$107</f>
        <v>408</v>
      </c>
      <c r="K130" s="206">
        <f>Assumptions!$O$107</f>
        <v>408</v>
      </c>
      <c r="L130" s="206">
        <f>Assumptions!$O$107</f>
        <v>408</v>
      </c>
      <c r="M130" s="206">
        <f>Assumptions!$O$107</f>
        <v>408</v>
      </c>
      <c r="N130" s="206">
        <f>Assumptions!$O$107</f>
        <v>408</v>
      </c>
      <c r="O130" s="207"/>
      <c r="P130" s="5"/>
      <c r="Q130" s="100"/>
      <c r="R130" s="8" t="s">
        <v>37</v>
      </c>
      <c r="T130" s="211">
        <f>Assumptions!O107</f>
        <v>408</v>
      </c>
      <c r="U130" s="211">
        <f>Assumptions!P107</f>
        <v>346.8</v>
      </c>
      <c r="V130" s="211">
        <f>Assumptions!Q107</f>
        <v>260.10000000000002</v>
      </c>
      <c r="W130" s="211">
        <f>Assumptions!R107</f>
        <v>195.07500000000002</v>
      </c>
      <c r="X130" s="211"/>
      <c r="Z130" s="8"/>
    </row>
    <row r="131" spans="2:26" s="7" customFormat="1" ht="14" customHeight="1" x14ac:dyDescent="0.3">
      <c r="B131" s="10" t="s">
        <v>159</v>
      </c>
      <c r="C131" s="208">
        <f t="shared" ref="C131:N131" si="33">C130*C129</f>
        <v>0</v>
      </c>
      <c r="D131" s="208">
        <f t="shared" si="33"/>
        <v>0</v>
      </c>
      <c r="E131" s="208">
        <f t="shared" si="33"/>
        <v>0</v>
      </c>
      <c r="F131" s="208">
        <f t="shared" si="33"/>
        <v>0</v>
      </c>
      <c r="G131" s="208">
        <f t="shared" si="33"/>
        <v>0</v>
      </c>
      <c r="H131" s="208">
        <f t="shared" si="33"/>
        <v>0</v>
      </c>
      <c r="I131" s="208">
        <f t="shared" si="33"/>
        <v>0</v>
      </c>
      <c r="J131" s="208">
        <f t="shared" si="33"/>
        <v>0</v>
      </c>
      <c r="K131" s="208">
        <f t="shared" si="33"/>
        <v>0</v>
      </c>
      <c r="L131" s="208">
        <f t="shared" si="33"/>
        <v>0</v>
      </c>
      <c r="M131" s="208">
        <f t="shared" si="33"/>
        <v>0</v>
      </c>
      <c r="N131" s="208">
        <f t="shared" si="33"/>
        <v>0</v>
      </c>
      <c r="O131" s="209">
        <f>SUM(C131:N131)</f>
        <v>0</v>
      </c>
      <c r="P131" s="19"/>
      <c r="Q131" s="114"/>
      <c r="R131" s="10" t="s">
        <v>159</v>
      </c>
      <c r="T131" s="212">
        <f>T130*T129</f>
        <v>0</v>
      </c>
      <c r="U131" s="212">
        <f>U130*U129</f>
        <v>143562.86501759998</v>
      </c>
      <c r="V131" s="212">
        <f>V130*V129</f>
        <v>646032.89257919986</v>
      </c>
      <c r="W131" s="212">
        <f>W130*W129</f>
        <v>1615082.2314479998</v>
      </c>
      <c r="X131" s="213">
        <f>SUM(T131:W131)</f>
        <v>2404677.9890447995</v>
      </c>
      <c r="Y131" s="10"/>
      <c r="Z131" s="10"/>
    </row>
    <row r="136" spans="2:26" ht="20" customHeight="1" x14ac:dyDescent="0.3">
      <c r="B136" s="115" t="s">
        <v>159</v>
      </c>
      <c r="C136" s="7"/>
    </row>
    <row r="138" spans="2:26" ht="14" customHeight="1" x14ac:dyDescent="0.3">
      <c r="B138" s="7" t="s">
        <v>164</v>
      </c>
    </row>
    <row r="139" spans="2:26" ht="14" customHeight="1" x14ac:dyDescent="0.3">
      <c r="B139" s="20" t="s">
        <v>34</v>
      </c>
      <c r="C139" s="116">
        <v>2019</v>
      </c>
      <c r="D139" s="116">
        <v>2020</v>
      </c>
      <c r="E139" s="116">
        <v>2021</v>
      </c>
      <c r="F139" s="116">
        <v>2022</v>
      </c>
      <c r="G139" s="116">
        <v>2023</v>
      </c>
      <c r="H139" s="116" t="s">
        <v>16</v>
      </c>
    </row>
    <row r="140" spans="2:26" ht="14" customHeight="1" x14ac:dyDescent="0.3">
      <c r="B140" s="8" t="s">
        <v>26</v>
      </c>
      <c r="C140" s="175">
        <f>SUM(S6)</f>
        <v>49701.696000000004</v>
      </c>
      <c r="D140" s="175">
        <f>D154</f>
        <v>388885.21392070496</v>
      </c>
      <c r="E140" s="175">
        <f>E154</f>
        <v>1860467.9372312282</v>
      </c>
      <c r="F140" s="175">
        <f>F154</f>
        <v>5457242.2041395754</v>
      </c>
      <c r="G140" s="175">
        <f>G154</f>
        <v>13816263.086226821</v>
      </c>
      <c r="H140" s="175">
        <f>SUM(C140:G140)</f>
        <v>21572560.137518331</v>
      </c>
    </row>
    <row r="141" spans="2:26" ht="14" customHeight="1" x14ac:dyDescent="0.3">
      <c r="B141" s="8" t="s">
        <v>27</v>
      </c>
      <c r="C141" s="215">
        <f>SUM(S7)</f>
        <v>46540.800000000003</v>
      </c>
      <c r="D141" s="215">
        <f>D160</f>
        <v>361729.20776400005</v>
      </c>
      <c r="E141" s="215">
        <f>E160</f>
        <v>1723014.8786150401</v>
      </c>
      <c r="F141" s="215">
        <f>F160</f>
        <v>5049982.5283008004</v>
      </c>
      <c r="G141" s="215">
        <f>G160</f>
        <v>12790339.221968642</v>
      </c>
      <c r="H141" s="215">
        <f>SUM(C141:G141)</f>
        <v>19971606.636648484</v>
      </c>
    </row>
    <row r="142" spans="2:26" s="7" customFormat="1" ht="14" customHeight="1" x14ac:dyDescent="0.3">
      <c r="B142" s="10" t="s">
        <v>159</v>
      </c>
      <c r="C142" s="219">
        <f>SUM(C140:C141)</f>
        <v>96242.496000000014</v>
      </c>
      <c r="D142" s="219">
        <f>SUM(D140:D141)</f>
        <v>750614.42168470495</v>
      </c>
      <c r="E142" s="219">
        <f>SUM(E140:E141)</f>
        <v>3583482.8158462681</v>
      </c>
      <c r="F142" s="219">
        <f>SUM(F140:F141)</f>
        <v>10507224.732440375</v>
      </c>
      <c r="G142" s="219">
        <f>SUM(G140:G141)</f>
        <v>26606602.308195464</v>
      </c>
      <c r="H142" s="220">
        <f>SUM(C142:G142)</f>
        <v>41544166.774166808</v>
      </c>
      <c r="I142" s="10"/>
      <c r="J142" s="10"/>
      <c r="K142" s="10"/>
      <c r="L142" s="10"/>
      <c r="M142" s="10"/>
      <c r="N142" s="10"/>
      <c r="O142" s="10"/>
      <c r="S142" s="10"/>
      <c r="T142" s="10"/>
      <c r="U142" s="10"/>
      <c r="V142" s="10"/>
      <c r="W142" s="10"/>
      <c r="X142" s="10"/>
      <c r="Y142" s="10"/>
    </row>
    <row r="143" spans="2:26" ht="14" customHeight="1" x14ac:dyDescent="0.3">
      <c r="B143" s="6"/>
      <c r="C143" s="1"/>
      <c r="D143" s="1"/>
      <c r="E143" s="1"/>
      <c r="F143" s="1"/>
      <c r="G143" s="1"/>
      <c r="H143" s="1"/>
    </row>
    <row r="146" spans="2:25" ht="14" customHeight="1" x14ac:dyDescent="0.3">
      <c r="B146" s="6"/>
      <c r="C146" s="1"/>
      <c r="D146" s="1"/>
      <c r="E146" s="1"/>
    </row>
    <row r="147" spans="2:25" ht="14" customHeight="1" x14ac:dyDescent="0.3">
      <c r="B147" s="7" t="s">
        <v>171</v>
      </c>
    </row>
    <row r="148" spans="2:25" ht="14" customHeight="1" x14ac:dyDescent="0.3">
      <c r="B148" s="12"/>
      <c r="C148" s="116">
        <v>2019</v>
      </c>
      <c r="D148" s="116">
        <v>2020</v>
      </c>
      <c r="E148" s="116">
        <v>2021</v>
      </c>
      <c r="F148" s="116">
        <v>2022</v>
      </c>
      <c r="G148" s="116">
        <v>2023</v>
      </c>
      <c r="H148" s="116" t="s">
        <v>16</v>
      </c>
    </row>
    <row r="149" spans="2:25" ht="14" customHeight="1" x14ac:dyDescent="0.3">
      <c r="B149" s="10" t="s">
        <v>123</v>
      </c>
      <c r="C149" s="171">
        <f>S15+S49+S83+S117</f>
        <v>58.176000000000002</v>
      </c>
      <c r="D149" s="171">
        <f>T15+T49+T83+T117</f>
        <v>531.95471729999997</v>
      </c>
      <c r="E149" s="171">
        <f>U15+U49+U83+U117</f>
        <v>2980.9945996800002</v>
      </c>
      <c r="F149" s="171">
        <f>V15+V49+V83+V117</f>
        <v>11649.3253248</v>
      </c>
      <c r="G149" s="171">
        <f>W15+W49+W83+W117</f>
        <v>39339.759237120001</v>
      </c>
      <c r="H149" s="171">
        <f t="shared" ref="H149:H154" si="34">SUM(C149:G149)</f>
        <v>54560.209878900001</v>
      </c>
    </row>
    <row r="150" spans="2:25" ht="14" customHeight="1" x14ac:dyDescent="0.3">
      <c r="B150" s="8" t="s">
        <v>172</v>
      </c>
      <c r="C150" s="175">
        <f t="shared" ref="C150:G151" si="35">S17+S51+S85+S119</f>
        <v>32636.736000000001</v>
      </c>
      <c r="D150" s="175">
        <f t="shared" si="35"/>
        <v>253662.60694450495</v>
      </c>
      <c r="E150" s="175">
        <f t="shared" si="35"/>
        <v>1208264.1836287964</v>
      </c>
      <c r="F150" s="175">
        <f t="shared" si="35"/>
        <v>3541300.2479709354</v>
      </c>
      <c r="G150" s="175">
        <f t="shared" si="35"/>
        <v>8969225.3794055078</v>
      </c>
      <c r="H150" s="175">
        <f t="shared" si="34"/>
        <v>14005089.153949745</v>
      </c>
    </row>
    <row r="151" spans="2:25" ht="14" customHeight="1" x14ac:dyDescent="0.3">
      <c r="B151" s="10" t="s">
        <v>124</v>
      </c>
      <c r="C151" s="171">
        <f t="shared" si="35"/>
        <v>38.784000000000006</v>
      </c>
      <c r="D151" s="171">
        <f t="shared" si="35"/>
        <v>354.63647820000006</v>
      </c>
      <c r="E151" s="171">
        <f t="shared" si="35"/>
        <v>1987.3297331200001</v>
      </c>
      <c r="F151" s="171">
        <f t="shared" si="35"/>
        <v>7766.2168831999998</v>
      </c>
      <c r="G151" s="171">
        <f t="shared" si="35"/>
        <v>26226.506158080003</v>
      </c>
      <c r="H151" s="214">
        <f t="shared" si="34"/>
        <v>36373.473252600001</v>
      </c>
    </row>
    <row r="152" spans="2:25" ht="14" customHeight="1" x14ac:dyDescent="0.3">
      <c r="B152" s="8" t="s">
        <v>173</v>
      </c>
      <c r="C152" s="215">
        <f t="shared" ref="C152:G153" si="36">S20+S54+S88+S122</f>
        <v>17064.960000000003</v>
      </c>
      <c r="D152" s="215">
        <f t="shared" si="36"/>
        <v>135222.60697620001</v>
      </c>
      <c r="E152" s="215">
        <f t="shared" si="36"/>
        <v>652203.75360243197</v>
      </c>
      <c r="F152" s="215">
        <f t="shared" si="36"/>
        <v>1915941.9561686399</v>
      </c>
      <c r="G152" s="215">
        <f t="shared" si="36"/>
        <v>4847037.7068213122</v>
      </c>
      <c r="H152" s="215">
        <f t="shared" si="34"/>
        <v>7567470.9835685845</v>
      </c>
    </row>
    <row r="153" spans="2:25" ht="14" customHeight="1" x14ac:dyDescent="0.3">
      <c r="B153" s="10" t="s">
        <v>152</v>
      </c>
      <c r="C153" s="16">
        <f t="shared" si="36"/>
        <v>96.960000000000008</v>
      </c>
      <c r="D153" s="16">
        <f t="shared" si="36"/>
        <v>886.59119550000014</v>
      </c>
      <c r="E153" s="16">
        <f t="shared" si="36"/>
        <v>4968.3243327999999</v>
      </c>
      <c r="F153" s="16">
        <f t="shared" si="36"/>
        <v>19415.542208000003</v>
      </c>
      <c r="G153" s="16">
        <f t="shared" si="36"/>
        <v>65566.265395199996</v>
      </c>
      <c r="H153" s="171">
        <f t="shared" si="34"/>
        <v>90933.683131500002</v>
      </c>
    </row>
    <row r="154" spans="2:25" ht="14" customHeight="1" x14ac:dyDescent="0.3">
      <c r="B154" s="10" t="s">
        <v>159</v>
      </c>
      <c r="C154" s="216">
        <f>SUM(C150,C152)</f>
        <v>49701.696000000004</v>
      </c>
      <c r="D154" s="216">
        <f>SUM(D150,D152)</f>
        <v>388885.21392070496</v>
      </c>
      <c r="E154" s="216">
        <f>SUM(E150,E152)</f>
        <v>1860467.9372312282</v>
      </c>
      <c r="F154" s="216">
        <f>SUM(F150,F152)</f>
        <v>5457242.2041395754</v>
      </c>
      <c r="G154" s="216">
        <f>SUM(G150,G152)</f>
        <v>13816263.086226821</v>
      </c>
      <c r="H154" s="216">
        <f t="shared" si="34"/>
        <v>21572560.137518331</v>
      </c>
    </row>
    <row r="155" spans="2:25" ht="14" customHeight="1" x14ac:dyDescent="0.3">
      <c r="C155" s="43"/>
      <c r="D155" s="43"/>
      <c r="E155" s="43"/>
      <c r="F155" s="43"/>
      <c r="G155" s="43"/>
    </row>
    <row r="156" spans="2:25" ht="14" customHeight="1" x14ac:dyDescent="0.3">
      <c r="B156" s="7"/>
      <c r="C156" s="44"/>
      <c r="D156" s="44"/>
      <c r="E156" s="44"/>
      <c r="F156" s="44"/>
      <c r="G156" s="44"/>
    </row>
    <row r="157" spans="2:25" ht="14" customHeight="1" x14ac:dyDescent="0.3">
      <c r="B157" s="7" t="s">
        <v>174</v>
      </c>
    </row>
    <row r="158" spans="2:25" ht="14" customHeight="1" x14ac:dyDescent="0.3">
      <c r="B158" s="17"/>
      <c r="C158" s="116">
        <v>2019</v>
      </c>
      <c r="D158" s="116">
        <v>2020</v>
      </c>
      <c r="E158" s="116">
        <v>2021</v>
      </c>
      <c r="F158" s="116">
        <v>2022</v>
      </c>
      <c r="G158" s="116">
        <v>2023</v>
      </c>
      <c r="H158" s="116" t="s">
        <v>16</v>
      </c>
    </row>
    <row r="159" spans="2:25" ht="14" customHeight="1" x14ac:dyDescent="0.3">
      <c r="B159" s="8" t="s">
        <v>27</v>
      </c>
      <c r="C159" s="45">
        <f>S27+S61+S95+S129</f>
        <v>96.960000000000008</v>
      </c>
      <c r="D159" s="45">
        <f>T27+T61+T95+T129</f>
        <v>886.59119550000014</v>
      </c>
      <c r="E159" s="45">
        <f>U27+U61+U95+U129</f>
        <v>4968.3243327999999</v>
      </c>
      <c r="F159" s="45">
        <f>V27+V61+V95+V129</f>
        <v>19415.542208000003</v>
      </c>
      <c r="G159" s="45">
        <f>W27+W61+W95+W129</f>
        <v>65566.265395199996</v>
      </c>
      <c r="H159" s="18">
        <f>SUM(C159:G159)</f>
        <v>90933.683131500002</v>
      </c>
    </row>
    <row r="160" spans="2:25" s="7" customFormat="1" ht="14" customHeight="1" x14ac:dyDescent="0.3">
      <c r="B160" s="10" t="s">
        <v>159</v>
      </c>
      <c r="C160" s="217">
        <f>S29+S63+S97+S131</f>
        <v>46540.800000000003</v>
      </c>
      <c r="D160" s="217">
        <f>T29+T63+T97+T131</f>
        <v>361729.20776400005</v>
      </c>
      <c r="E160" s="217">
        <f>U29+U63+U97+U131</f>
        <v>1723014.8786150401</v>
      </c>
      <c r="F160" s="217">
        <f>V29+V63+V97+V131</f>
        <v>5049982.5283008004</v>
      </c>
      <c r="G160" s="217">
        <f>W29+W63+W97+W131</f>
        <v>12790339.221968642</v>
      </c>
      <c r="H160" s="218">
        <f>SUM(C160:G160)</f>
        <v>19971606.636648484</v>
      </c>
      <c r="I160" s="10"/>
      <c r="J160" s="10"/>
      <c r="K160" s="10"/>
      <c r="L160" s="10"/>
      <c r="M160" s="10"/>
      <c r="N160" s="10"/>
      <c r="O160" s="10"/>
      <c r="S160" s="10"/>
      <c r="T160" s="10"/>
      <c r="U160" s="10"/>
      <c r="V160" s="10"/>
      <c r="W160" s="10"/>
      <c r="X160" s="10"/>
      <c r="Y160" s="1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9F7E1-D78D-4601-83A6-0FB476708045}">
  <dimension ref="A3:T52"/>
  <sheetViews>
    <sheetView showGridLines="0" topLeftCell="A38" zoomScale="90" zoomScaleNormal="90" workbookViewId="0">
      <selection activeCell="D51" sqref="D51"/>
    </sheetView>
  </sheetViews>
  <sheetFormatPr baseColWidth="10" defaultColWidth="14.6328125" defaultRowHeight="14.5" x14ac:dyDescent="0.35"/>
  <cols>
    <col min="1" max="1" width="25.36328125" style="118" customWidth="1"/>
    <col min="2" max="2" width="14.36328125" style="118" customWidth="1"/>
    <col min="3" max="3" width="14.6328125" style="118"/>
    <col min="4" max="4" width="29.36328125" style="118" customWidth="1"/>
    <col min="5" max="5" width="17.26953125" style="118" customWidth="1"/>
    <col min="6" max="6" width="18.81640625" style="118" customWidth="1"/>
    <col min="7" max="7" width="18.36328125" style="118" customWidth="1"/>
    <col min="8" max="16384" width="14.6328125" style="118"/>
  </cols>
  <sheetData>
    <row r="3" spans="1:20" x14ac:dyDescent="0.35">
      <c r="A3" s="228"/>
      <c r="B3" s="228"/>
      <c r="C3" s="229">
        <v>43647</v>
      </c>
      <c r="D3" s="229">
        <v>43678</v>
      </c>
      <c r="E3" s="229">
        <v>43709</v>
      </c>
      <c r="F3" s="229">
        <v>43739</v>
      </c>
      <c r="G3" s="229">
        <v>43770</v>
      </c>
      <c r="H3" s="229">
        <v>43800</v>
      </c>
      <c r="I3" s="229">
        <v>43831</v>
      </c>
      <c r="J3" s="229">
        <v>43862</v>
      </c>
      <c r="K3" s="229">
        <v>43891</v>
      </c>
      <c r="L3" s="229">
        <v>43922</v>
      </c>
      <c r="M3" s="229">
        <v>43952</v>
      </c>
      <c r="N3" s="229">
        <v>43983</v>
      </c>
      <c r="O3" s="229">
        <v>44013</v>
      </c>
      <c r="P3" s="229">
        <v>44044</v>
      </c>
      <c r="Q3" s="229">
        <v>44075</v>
      </c>
      <c r="R3" s="229">
        <v>44105</v>
      </c>
      <c r="S3" s="229">
        <v>44136</v>
      </c>
      <c r="T3" s="229">
        <v>44166</v>
      </c>
    </row>
    <row r="4" spans="1:20" s="231" customFormat="1" x14ac:dyDescent="0.35">
      <c r="A4" s="230" t="s">
        <v>175</v>
      </c>
      <c r="B4" s="230" t="s">
        <v>180</v>
      </c>
      <c r="C4" s="230">
        <v>3</v>
      </c>
      <c r="D4" s="230">
        <v>4</v>
      </c>
      <c r="E4" s="230">
        <v>6</v>
      </c>
      <c r="F4" s="230">
        <v>6</v>
      </c>
      <c r="G4" s="230">
        <v>7</v>
      </c>
      <c r="H4" s="230">
        <v>7</v>
      </c>
      <c r="I4" s="230">
        <v>10</v>
      </c>
      <c r="J4" s="230">
        <v>13</v>
      </c>
      <c r="K4" s="230">
        <v>13</v>
      </c>
      <c r="L4" s="230">
        <v>17</v>
      </c>
      <c r="M4" s="230">
        <v>17</v>
      </c>
      <c r="N4" s="230">
        <v>17</v>
      </c>
      <c r="O4" s="230">
        <v>21</v>
      </c>
      <c r="P4" s="230">
        <v>21</v>
      </c>
      <c r="Q4" s="230">
        <v>21</v>
      </c>
      <c r="R4" s="230">
        <v>21</v>
      </c>
      <c r="S4" s="230">
        <v>21</v>
      </c>
      <c r="T4" s="230">
        <v>21</v>
      </c>
    </row>
    <row r="5" spans="1:20" x14ac:dyDescent="0.35">
      <c r="A5" s="228" t="s">
        <v>76</v>
      </c>
      <c r="B5" s="228"/>
      <c r="C5" s="225" t="s">
        <v>176</v>
      </c>
      <c r="D5" s="225"/>
      <c r="E5" s="227"/>
      <c r="F5" s="225"/>
      <c r="G5" s="226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</row>
    <row r="6" spans="1:20" x14ac:dyDescent="0.35">
      <c r="A6" s="228" t="s">
        <v>77</v>
      </c>
      <c r="B6" s="228"/>
      <c r="C6" s="225" t="s">
        <v>176</v>
      </c>
      <c r="D6" s="225"/>
      <c r="E6" s="227"/>
      <c r="F6" s="225"/>
      <c r="G6" s="226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</row>
    <row r="7" spans="1:20" x14ac:dyDescent="0.35">
      <c r="A7" s="228" t="s">
        <v>78</v>
      </c>
      <c r="B7" s="228"/>
      <c r="C7" s="225" t="s">
        <v>176</v>
      </c>
      <c r="D7" s="225"/>
      <c r="E7" s="227"/>
      <c r="F7" s="225"/>
      <c r="G7" s="226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</row>
    <row r="8" spans="1:20" x14ac:dyDescent="0.35">
      <c r="A8" s="228" t="s">
        <v>79</v>
      </c>
      <c r="B8" s="228"/>
      <c r="C8" s="225"/>
      <c r="D8" s="225" t="s">
        <v>176</v>
      </c>
      <c r="E8" s="227"/>
      <c r="F8" s="225"/>
      <c r="G8" s="226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</row>
    <row r="9" spans="1:20" x14ac:dyDescent="0.35">
      <c r="A9" s="228" t="s">
        <v>80</v>
      </c>
      <c r="B9" s="228"/>
      <c r="C9" s="225"/>
      <c r="D9" s="225"/>
      <c r="E9" s="227" t="s">
        <v>176</v>
      </c>
      <c r="F9" s="225"/>
      <c r="G9" s="226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</row>
    <row r="10" spans="1:20" x14ac:dyDescent="0.35">
      <c r="A10" s="228" t="s">
        <v>81</v>
      </c>
      <c r="B10" s="228"/>
      <c r="C10" s="225"/>
      <c r="D10" s="225"/>
      <c r="E10" s="227" t="s">
        <v>176</v>
      </c>
      <c r="F10" s="225"/>
      <c r="G10" s="226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</row>
    <row r="11" spans="1:20" x14ac:dyDescent="0.35">
      <c r="A11" s="228" t="s">
        <v>177</v>
      </c>
      <c r="B11" s="228"/>
      <c r="C11" s="225"/>
      <c r="D11" s="225"/>
      <c r="E11" s="227"/>
      <c r="F11" s="225"/>
      <c r="G11" s="226" t="s">
        <v>176</v>
      </c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</row>
    <row r="12" spans="1:20" x14ac:dyDescent="0.35">
      <c r="A12" s="228" t="s">
        <v>94</v>
      </c>
      <c r="C12" s="225"/>
      <c r="D12" s="225"/>
      <c r="E12" s="227"/>
      <c r="F12" s="225"/>
      <c r="G12" s="226"/>
      <c r="H12" s="225"/>
      <c r="I12" s="225" t="s">
        <v>176</v>
      </c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</row>
    <row r="13" spans="1:20" x14ac:dyDescent="0.35">
      <c r="A13" s="228" t="s">
        <v>178</v>
      </c>
      <c r="B13" s="228"/>
      <c r="C13" s="225"/>
      <c r="D13" s="225"/>
      <c r="E13" s="227"/>
      <c r="F13" s="225"/>
      <c r="G13" s="226"/>
      <c r="H13" s="225"/>
      <c r="I13" s="225" t="s">
        <v>176</v>
      </c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</row>
    <row r="14" spans="1:20" x14ac:dyDescent="0.35">
      <c r="A14" s="228" t="s">
        <v>179</v>
      </c>
      <c r="B14" s="228"/>
      <c r="C14" s="225"/>
      <c r="D14" s="225"/>
      <c r="E14" s="227"/>
      <c r="F14" s="225"/>
      <c r="G14" s="226"/>
      <c r="H14" s="225"/>
      <c r="I14" s="225" t="s">
        <v>176</v>
      </c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</row>
    <row r="15" spans="1:20" x14ac:dyDescent="0.35">
      <c r="A15" s="228" t="s">
        <v>181</v>
      </c>
      <c r="B15" s="228"/>
      <c r="C15" s="225"/>
      <c r="D15" s="225"/>
      <c r="E15" s="227"/>
      <c r="F15" s="225"/>
      <c r="G15" s="226"/>
      <c r="H15" s="225"/>
      <c r="I15" s="225"/>
      <c r="J15" s="225" t="s">
        <v>176</v>
      </c>
      <c r="K15" s="225"/>
      <c r="L15" s="225"/>
      <c r="M15" s="225"/>
      <c r="N15" s="225"/>
      <c r="O15" s="225"/>
      <c r="P15" s="225"/>
      <c r="Q15" s="225"/>
      <c r="R15" s="225"/>
      <c r="S15" s="225"/>
      <c r="T15" s="225"/>
    </row>
    <row r="16" spans="1:20" x14ac:dyDescent="0.35">
      <c r="A16" s="228" t="s">
        <v>182</v>
      </c>
      <c r="B16" s="228"/>
      <c r="C16" s="225"/>
      <c r="D16" s="225"/>
      <c r="E16" s="227"/>
      <c r="F16" s="225"/>
      <c r="G16" s="226"/>
      <c r="H16" s="225"/>
      <c r="I16" s="225"/>
      <c r="J16" s="225" t="s">
        <v>176</v>
      </c>
      <c r="K16" s="225"/>
      <c r="L16" s="225"/>
      <c r="M16" s="225"/>
      <c r="N16" s="225"/>
      <c r="O16" s="225"/>
      <c r="P16" s="225"/>
      <c r="Q16" s="225"/>
      <c r="R16" s="225"/>
      <c r="S16" s="225"/>
      <c r="T16" s="225"/>
    </row>
    <row r="17" spans="1:20" x14ac:dyDescent="0.35">
      <c r="A17" s="228" t="s">
        <v>183</v>
      </c>
      <c r="B17" s="228"/>
      <c r="C17" s="225"/>
      <c r="D17" s="225"/>
      <c r="E17" s="227"/>
      <c r="F17" s="225"/>
      <c r="G17" s="226"/>
      <c r="H17" s="225"/>
      <c r="I17" s="225"/>
      <c r="J17" s="225" t="s">
        <v>176</v>
      </c>
      <c r="K17" s="225"/>
      <c r="L17" s="225"/>
      <c r="M17" s="225"/>
      <c r="N17" s="225"/>
      <c r="O17" s="225"/>
      <c r="P17" s="225"/>
      <c r="Q17" s="225"/>
      <c r="R17" s="225"/>
      <c r="S17" s="225"/>
      <c r="T17" s="225"/>
    </row>
    <row r="18" spans="1:20" x14ac:dyDescent="0.35">
      <c r="A18" s="228" t="s">
        <v>184</v>
      </c>
      <c r="B18" s="228"/>
      <c r="C18" s="225"/>
      <c r="D18" s="225"/>
      <c r="E18" s="227"/>
      <c r="F18" s="225"/>
      <c r="G18" s="226"/>
      <c r="H18" s="225"/>
      <c r="I18" s="225"/>
      <c r="J18" s="225"/>
      <c r="K18" s="225"/>
      <c r="L18" s="225" t="s">
        <v>176</v>
      </c>
      <c r="M18" s="225"/>
      <c r="N18" s="225"/>
      <c r="O18" s="225"/>
      <c r="P18" s="225"/>
      <c r="Q18" s="225"/>
      <c r="R18" s="225"/>
      <c r="S18" s="225"/>
      <c r="T18" s="225"/>
    </row>
    <row r="19" spans="1:20" x14ac:dyDescent="0.35">
      <c r="A19" s="228" t="s">
        <v>185</v>
      </c>
      <c r="B19" s="225"/>
      <c r="C19" s="225"/>
      <c r="D19" s="225"/>
      <c r="E19" s="227"/>
      <c r="F19" s="225"/>
      <c r="G19" s="226"/>
      <c r="H19" s="225"/>
      <c r="I19" s="225"/>
      <c r="J19" s="225"/>
      <c r="K19" s="225"/>
      <c r="L19" s="225" t="s">
        <v>176</v>
      </c>
      <c r="M19" s="225"/>
      <c r="N19" s="225"/>
      <c r="O19" s="225"/>
      <c r="P19" s="225"/>
      <c r="Q19" s="225"/>
      <c r="R19" s="225"/>
      <c r="S19" s="225"/>
      <c r="T19" s="225"/>
    </row>
    <row r="20" spans="1:20" x14ac:dyDescent="0.35">
      <c r="A20" s="228" t="s">
        <v>186</v>
      </c>
      <c r="B20" s="225"/>
      <c r="C20" s="225"/>
      <c r="D20" s="225"/>
      <c r="E20" s="227"/>
      <c r="F20" s="225"/>
      <c r="G20" s="226"/>
      <c r="H20" s="225"/>
      <c r="I20" s="225"/>
      <c r="J20" s="225"/>
      <c r="K20" s="225"/>
      <c r="L20" s="225" t="s">
        <v>176</v>
      </c>
      <c r="M20" s="225"/>
      <c r="N20" s="225"/>
      <c r="O20" s="225"/>
      <c r="P20" s="225"/>
      <c r="Q20" s="225"/>
      <c r="R20" s="225"/>
      <c r="S20" s="225"/>
      <c r="T20" s="225"/>
    </row>
    <row r="21" spans="1:20" x14ac:dyDescent="0.35">
      <c r="A21" s="228" t="s">
        <v>187</v>
      </c>
      <c r="B21" s="225"/>
      <c r="C21" s="225"/>
      <c r="D21" s="225"/>
      <c r="E21" s="227"/>
      <c r="F21" s="225"/>
      <c r="G21" s="226"/>
      <c r="H21" s="225"/>
      <c r="I21" s="225"/>
      <c r="J21" s="225"/>
      <c r="K21" s="225"/>
      <c r="L21" s="225" t="s">
        <v>176</v>
      </c>
      <c r="M21" s="225"/>
      <c r="N21" s="225"/>
      <c r="O21" s="225"/>
      <c r="P21" s="225"/>
      <c r="Q21" s="225"/>
      <c r="R21" s="225"/>
      <c r="S21" s="225"/>
      <c r="T21" s="225"/>
    </row>
    <row r="22" spans="1:20" ht="29" x14ac:dyDescent="0.35">
      <c r="A22" s="228" t="s">
        <v>188</v>
      </c>
      <c r="B22" s="225"/>
      <c r="C22" s="225"/>
      <c r="D22" s="225"/>
      <c r="E22" s="227"/>
      <c r="F22" s="225"/>
      <c r="G22" s="226"/>
      <c r="H22" s="225"/>
      <c r="I22" s="225"/>
      <c r="J22" s="225"/>
      <c r="K22" s="225"/>
      <c r="L22" s="225"/>
      <c r="M22" s="225"/>
      <c r="N22" s="225"/>
      <c r="O22" s="225" t="s">
        <v>176</v>
      </c>
      <c r="P22" s="225"/>
      <c r="Q22" s="225"/>
      <c r="R22" s="225"/>
      <c r="S22" s="225"/>
      <c r="T22" s="225"/>
    </row>
    <row r="23" spans="1:20" x14ac:dyDescent="0.35">
      <c r="A23" s="228" t="s">
        <v>189</v>
      </c>
      <c r="B23" s="225"/>
      <c r="C23" s="225"/>
      <c r="D23" s="225"/>
      <c r="E23" s="227"/>
      <c r="F23" s="225"/>
      <c r="G23" s="226"/>
      <c r="H23" s="225"/>
      <c r="I23" s="225"/>
      <c r="J23" s="225"/>
      <c r="K23" s="225"/>
      <c r="L23" s="225"/>
      <c r="M23" s="225"/>
      <c r="N23" s="225"/>
      <c r="O23" s="225" t="s">
        <v>176</v>
      </c>
      <c r="P23" s="225"/>
      <c r="Q23" s="225"/>
      <c r="R23" s="225"/>
      <c r="S23" s="225"/>
      <c r="T23" s="225"/>
    </row>
    <row r="24" spans="1:20" x14ac:dyDescent="0.35">
      <c r="A24" s="228" t="s">
        <v>191</v>
      </c>
      <c r="B24" s="225"/>
      <c r="C24" s="225"/>
      <c r="D24" s="225"/>
      <c r="E24" s="227"/>
      <c r="F24" s="225"/>
      <c r="G24" s="226"/>
      <c r="H24" s="225"/>
      <c r="I24" s="225"/>
      <c r="J24" s="225"/>
      <c r="K24" s="225"/>
      <c r="L24" s="225"/>
      <c r="M24" s="225"/>
      <c r="N24" s="225"/>
      <c r="O24" s="225" t="s">
        <v>176</v>
      </c>
      <c r="P24" s="225"/>
      <c r="Q24" s="225"/>
      <c r="R24" s="225"/>
      <c r="S24" s="225"/>
      <c r="T24" s="225"/>
    </row>
    <row r="25" spans="1:20" x14ac:dyDescent="0.35">
      <c r="A25" s="228" t="s">
        <v>190</v>
      </c>
      <c r="B25" s="225"/>
      <c r="C25" s="225"/>
      <c r="D25" s="225"/>
      <c r="E25" s="227"/>
      <c r="F25" s="225"/>
      <c r="G25" s="225"/>
      <c r="H25" s="225"/>
      <c r="I25" s="225"/>
      <c r="J25" s="225"/>
      <c r="K25" s="225"/>
      <c r="L25" s="225"/>
      <c r="M25" s="225"/>
      <c r="N25" s="225"/>
      <c r="O25" s="225" t="s">
        <v>176</v>
      </c>
      <c r="P25" s="225"/>
      <c r="Q25" s="225"/>
      <c r="R25" s="225"/>
      <c r="S25" s="225"/>
      <c r="T25" s="225"/>
    </row>
    <row r="27" spans="1:20" x14ac:dyDescent="0.35">
      <c r="A27" s="235" t="s">
        <v>193</v>
      </c>
      <c r="B27" s="235"/>
      <c r="C27" s="235"/>
      <c r="D27" s="236">
        <v>-0.4</v>
      </c>
      <c r="E27" s="236">
        <v>0.02</v>
      </c>
      <c r="F27" s="236">
        <v>0.02</v>
      </c>
      <c r="G27" s="236">
        <v>0.02</v>
      </c>
    </row>
    <row r="28" spans="1:20" x14ac:dyDescent="0.35">
      <c r="A28" s="235" t="s">
        <v>175</v>
      </c>
      <c r="B28" s="235"/>
      <c r="C28" s="235">
        <v>7</v>
      </c>
      <c r="D28" s="235">
        <v>21</v>
      </c>
      <c r="E28" s="235">
        <v>30</v>
      </c>
      <c r="F28" s="235">
        <v>55</v>
      </c>
      <c r="G28" s="235">
        <v>75</v>
      </c>
    </row>
    <row r="29" spans="1:20" x14ac:dyDescent="0.35">
      <c r="B29" s="234" t="s">
        <v>192</v>
      </c>
      <c r="C29" s="234">
        <v>2019</v>
      </c>
      <c r="D29" s="234">
        <v>2020</v>
      </c>
      <c r="E29" s="234">
        <v>2021</v>
      </c>
      <c r="F29" s="234">
        <v>2022</v>
      </c>
      <c r="G29" s="234">
        <v>2023</v>
      </c>
    </row>
    <row r="30" spans="1:20" x14ac:dyDescent="0.35">
      <c r="A30" s="232" t="s">
        <v>76</v>
      </c>
      <c r="B30" s="233">
        <f>Salaries!D2+Salaries!E2</f>
        <v>62900</v>
      </c>
      <c r="C30" s="233">
        <v>6000</v>
      </c>
      <c r="D30" s="233">
        <f>(1+$D$27)*B30</f>
        <v>37740</v>
      </c>
      <c r="E30" s="233"/>
      <c r="F30" s="233"/>
      <c r="G30" s="233"/>
    </row>
    <row r="31" spans="1:20" x14ac:dyDescent="0.35">
      <c r="A31" s="232" t="s">
        <v>77</v>
      </c>
      <c r="B31" s="233">
        <f>Salaries!D3+Salaries!E3</f>
        <v>52000</v>
      </c>
      <c r="C31" s="233">
        <v>6000</v>
      </c>
      <c r="D31" s="233">
        <f t="shared" ref="D31:D39" si="0">(1+$D$27)*B31</f>
        <v>31200</v>
      </c>
      <c r="E31" s="233"/>
      <c r="F31" s="233"/>
      <c r="G31" s="233"/>
    </row>
    <row r="32" spans="1:20" x14ac:dyDescent="0.35">
      <c r="A32" s="232" t="s">
        <v>78</v>
      </c>
      <c r="B32" s="233">
        <f>Salaries!D4+Salaries!E4</f>
        <v>46800</v>
      </c>
      <c r="C32" s="233">
        <v>6000</v>
      </c>
      <c r="D32" s="233">
        <f t="shared" si="0"/>
        <v>28080</v>
      </c>
      <c r="E32" s="233"/>
      <c r="F32" s="233"/>
      <c r="G32" s="233"/>
    </row>
    <row r="33" spans="1:7" x14ac:dyDescent="0.35">
      <c r="A33" s="232" t="s">
        <v>79</v>
      </c>
      <c r="B33" s="233">
        <f>Salaries!D5+Salaries!E5</f>
        <v>52000</v>
      </c>
      <c r="C33" s="233">
        <v>6000</v>
      </c>
      <c r="D33" s="233">
        <f t="shared" si="0"/>
        <v>31200</v>
      </c>
      <c r="E33" s="233"/>
      <c r="F33" s="233"/>
      <c r="G33" s="233"/>
    </row>
    <row r="34" spans="1:7" x14ac:dyDescent="0.35">
      <c r="A34" s="232" t="s">
        <v>80</v>
      </c>
      <c r="B34" s="233">
        <f>Salaries!D6+Salaries!E6</f>
        <v>45500</v>
      </c>
      <c r="C34" s="233">
        <v>6000</v>
      </c>
      <c r="D34" s="233">
        <f t="shared" si="0"/>
        <v>27300</v>
      </c>
      <c r="E34" s="233"/>
      <c r="F34" s="233"/>
      <c r="G34" s="233"/>
    </row>
    <row r="35" spans="1:7" x14ac:dyDescent="0.35">
      <c r="A35" s="232" t="s">
        <v>81</v>
      </c>
      <c r="B35" s="233">
        <f>Salaries!D7+Salaries!E7</f>
        <v>23400</v>
      </c>
      <c r="C35" s="233">
        <v>6000</v>
      </c>
      <c r="D35" s="233">
        <f t="shared" si="0"/>
        <v>14040</v>
      </c>
      <c r="E35" s="233"/>
      <c r="F35" s="233"/>
      <c r="G35" s="233"/>
    </row>
    <row r="36" spans="1:7" x14ac:dyDescent="0.35">
      <c r="A36" s="232" t="s">
        <v>177</v>
      </c>
      <c r="B36" s="233">
        <f>Salaries!D16+Salaries!E16</f>
        <v>32500</v>
      </c>
      <c r="C36" s="233">
        <v>6000</v>
      </c>
      <c r="D36" s="233">
        <f t="shared" si="0"/>
        <v>19500</v>
      </c>
      <c r="E36" s="233"/>
      <c r="F36" s="233"/>
      <c r="G36" s="233"/>
    </row>
    <row r="37" spans="1:7" x14ac:dyDescent="0.35">
      <c r="A37" s="232" t="s">
        <v>94</v>
      </c>
      <c r="B37" s="233">
        <f>Salaries!D8+Salaries!E8</f>
        <v>46800</v>
      </c>
      <c r="C37" s="233">
        <v>0</v>
      </c>
      <c r="D37" s="233">
        <f t="shared" si="0"/>
        <v>28080</v>
      </c>
      <c r="E37" s="233"/>
      <c r="F37" s="233"/>
      <c r="G37" s="233"/>
    </row>
    <row r="38" spans="1:7" x14ac:dyDescent="0.35">
      <c r="A38" s="232" t="s">
        <v>178</v>
      </c>
      <c r="B38" s="233">
        <f>Salaries!D18+Salaries!E18</f>
        <v>39000</v>
      </c>
      <c r="C38" s="233">
        <v>0</v>
      </c>
      <c r="D38" s="233">
        <f t="shared" si="0"/>
        <v>23400</v>
      </c>
      <c r="E38" s="233"/>
      <c r="F38" s="233"/>
      <c r="G38" s="233"/>
    </row>
    <row r="39" spans="1:7" x14ac:dyDescent="0.35">
      <c r="A39" s="232" t="s">
        <v>179</v>
      </c>
      <c r="B39" s="233">
        <f>Salaries!D22+Salaries!E22</f>
        <v>26000</v>
      </c>
      <c r="C39" s="233">
        <v>0</v>
      </c>
      <c r="D39" s="233">
        <f t="shared" si="0"/>
        <v>15600</v>
      </c>
      <c r="E39" s="233"/>
      <c r="F39" s="233"/>
      <c r="G39" s="233"/>
    </row>
    <row r="40" spans="1:7" x14ac:dyDescent="0.35">
      <c r="A40" s="232" t="s">
        <v>181</v>
      </c>
      <c r="B40" s="233">
        <f>Salaries!D9+Salaries!E9</f>
        <v>52000</v>
      </c>
      <c r="C40" s="233">
        <v>0</v>
      </c>
      <c r="D40" s="233">
        <f>(1+$D$27)*B40*(11/12)</f>
        <v>28600</v>
      </c>
      <c r="E40" s="233"/>
      <c r="F40" s="233"/>
      <c r="G40" s="233"/>
    </row>
    <row r="41" spans="1:7" x14ac:dyDescent="0.35">
      <c r="A41" s="232" t="s">
        <v>182</v>
      </c>
      <c r="B41" s="233">
        <f>Salaries!D12+Salaries!E12</f>
        <v>32500</v>
      </c>
      <c r="C41" s="233">
        <v>0</v>
      </c>
      <c r="D41" s="233">
        <f>(1+$D$27)*B41*(11/12)</f>
        <v>17875</v>
      </c>
      <c r="E41" s="233"/>
      <c r="F41" s="233"/>
      <c r="G41" s="233"/>
    </row>
    <row r="42" spans="1:7" x14ac:dyDescent="0.35">
      <c r="A42" s="232" t="s">
        <v>183</v>
      </c>
      <c r="B42" s="233">
        <f>Salaries!D13+Salaries!E13</f>
        <v>52000</v>
      </c>
      <c r="C42" s="233">
        <v>0</v>
      </c>
      <c r="D42" s="233">
        <f>(1+$D$27)*B42*(11/12)</f>
        <v>28600</v>
      </c>
      <c r="E42" s="233"/>
      <c r="F42" s="233"/>
      <c r="G42" s="233"/>
    </row>
    <row r="43" spans="1:7" x14ac:dyDescent="0.35">
      <c r="A43" s="232" t="s">
        <v>184</v>
      </c>
      <c r="B43" s="233">
        <f>Salaries!D10+Salaries!E10</f>
        <v>57900</v>
      </c>
      <c r="C43" s="233">
        <v>0</v>
      </c>
      <c r="D43" s="233">
        <v>0</v>
      </c>
      <c r="E43" s="233">
        <v>43425</v>
      </c>
      <c r="F43" s="233"/>
      <c r="G43" s="233"/>
    </row>
    <row r="44" spans="1:7" x14ac:dyDescent="0.35">
      <c r="A44" s="232" t="s">
        <v>185</v>
      </c>
      <c r="B44" s="233">
        <f>Salaries!D11+Salaries!E11</f>
        <v>52000</v>
      </c>
      <c r="C44" s="233">
        <v>0</v>
      </c>
      <c r="D44" s="233">
        <v>0</v>
      </c>
      <c r="E44" s="233">
        <v>39000</v>
      </c>
      <c r="F44" s="233"/>
      <c r="G44" s="233"/>
    </row>
    <row r="45" spans="1:7" x14ac:dyDescent="0.35">
      <c r="A45" s="232" t="s">
        <v>186</v>
      </c>
      <c r="B45" s="233">
        <f>Salaries!D17+Salaries!E17</f>
        <v>45500</v>
      </c>
      <c r="C45" s="233">
        <v>0</v>
      </c>
      <c r="D45" s="233">
        <f>(1+$D$27)*B45*(9/12)</f>
        <v>20475</v>
      </c>
      <c r="E45" s="233"/>
      <c r="F45" s="233"/>
      <c r="G45" s="233"/>
    </row>
    <row r="46" spans="1:7" x14ac:dyDescent="0.35">
      <c r="A46" s="232" t="s">
        <v>187</v>
      </c>
      <c r="B46" s="233">
        <f>Salaries!D19+Salaries!E19</f>
        <v>32500</v>
      </c>
      <c r="C46" s="233">
        <v>0</v>
      </c>
      <c r="D46" s="233">
        <f>(1+$D$27)*B46*(9/12)</f>
        <v>14625</v>
      </c>
      <c r="E46" s="233"/>
      <c r="F46" s="233"/>
      <c r="G46" s="233"/>
    </row>
    <row r="47" spans="1:7" ht="29" x14ac:dyDescent="0.35">
      <c r="A47" s="232" t="s">
        <v>188</v>
      </c>
      <c r="B47" s="233">
        <f>Salaries!D14+Salaries!E14</f>
        <v>57900</v>
      </c>
      <c r="C47" s="233">
        <v>0</v>
      </c>
      <c r="D47" s="233">
        <v>0</v>
      </c>
      <c r="E47" s="233">
        <v>28950</v>
      </c>
      <c r="F47" s="233"/>
      <c r="G47" s="233"/>
    </row>
    <row r="48" spans="1:7" x14ac:dyDescent="0.35">
      <c r="A48" s="232" t="s">
        <v>189</v>
      </c>
      <c r="B48" s="233">
        <f>Salaries!D15+Salaries!E15</f>
        <v>52000</v>
      </c>
      <c r="C48" s="233">
        <v>0</v>
      </c>
      <c r="D48" s="233">
        <v>0</v>
      </c>
      <c r="E48" s="233">
        <v>52000</v>
      </c>
      <c r="F48" s="233"/>
      <c r="G48" s="233"/>
    </row>
    <row r="49" spans="1:9" x14ac:dyDescent="0.35">
      <c r="A49" s="232" t="s">
        <v>191</v>
      </c>
      <c r="B49" s="233">
        <f>Salaries!D20+Salaries!E20</f>
        <v>32500</v>
      </c>
      <c r="C49" s="233">
        <v>0</v>
      </c>
      <c r="D49" s="233">
        <f>(1+$D$27)*B49*(6/12)</f>
        <v>9750</v>
      </c>
      <c r="E49" s="233"/>
      <c r="F49" s="233"/>
      <c r="G49" s="233"/>
    </row>
    <row r="50" spans="1:9" x14ac:dyDescent="0.35">
      <c r="A50" s="232" t="s">
        <v>190</v>
      </c>
      <c r="B50" s="233">
        <f>Salaries!D21+Salaries!E21</f>
        <v>32500</v>
      </c>
      <c r="C50" s="233">
        <v>0</v>
      </c>
      <c r="D50" s="233">
        <f>(1+$D$27)*B50*(6/12)</f>
        <v>9750</v>
      </c>
      <c r="E50" s="233"/>
      <c r="F50" s="233"/>
      <c r="G50" s="233"/>
      <c r="I50" s="417"/>
    </row>
    <row r="51" spans="1:9" x14ac:dyDescent="0.35">
      <c r="A51" s="237" t="s">
        <v>16</v>
      </c>
      <c r="B51" s="238"/>
      <c r="C51" s="238">
        <f>SUM(C30:C50)</f>
        <v>42000</v>
      </c>
      <c r="D51" s="238">
        <f>SUM(D30:D50)</f>
        <v>385815</v>
      </c>
      <c r="E51" s="240">
        <f>$B$52*E28</f>
        <v>1323142.8571428573</v>
      </c>
      <c r="F51" s="240">
        <f>$B$52*F28</f>
        <v>2425761.9047619049</v>
      </c>
      <c r="G51" s="240">
        <f>$B$52*G28</f>
        <v>3307857.1428571432</v>
      </c>
    </row>
    <row r="52" spans="1:9" x14ac:dyDescent="0.35">
      <c r="A52" s="231" t="s">
        <v>194</v>
      </c>
      <c r="B52" s="239">
        <f>AVERAGE(B30:B50)</f>
        <v>44104.761904761908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C8005-FB35-4965-8C46-3F2816031627}">
  <dimension ref="C1:E26"/>
  <sheetViews>
    <sheetView showGridLines="0" zoomScale="90" zoomScaleNormal="90" workbookViewId="0">
      <selection activeCell="D3" sqref="D3"/>
    </sheetView>
  </sheetViews>
  <sheetFormatPr baseColWidth="10" defaultColWidth="14.6328125" defaultRowHeight="14.5" x14ac:dyDescent="0.35"/>
  <cols>
    <col min="1" max="2" width="14.6328125" style="118"/>
    <col min="3" max="3" width="29.36328125" style="118" customWidth="1"/>
    <col min="4" max="4" width="17.26953125" style="118" customWidth="1"/>
    <col min="5" max="5" width="18.81640625" style="118" customWidth="1"/>
    <col min="6" max="16384" width="14.6328125" style="118"/>
  </cols>
  <sheetData>
    <row r="1" spans="3:5" x14ac:dyDescent="0.35">
      <c r="C1" s="118" t="s">
        <v>75</v>
      </c>
      <c r="D1" s="118" t="s">
        <v>93</v>
      </c>
      <c r="E1" s="118" t="s">
        <v>96</v>
      </c>
    </row>
    <row r="2" spans="3:5" x14ac:dyDescent="0.35">
      <c r="C2" s="118" t="s">
        <v>76</v>
      </c>
      <c r="D2" s="121">
        <v>50000</v>
      </c>
      <c r="E2" s="118">
        <f>IF(D2&gt;43000,(43000*0.3),(D2*0.3))</f>
        <v>12900</v>
      </c>
    </row>
    <row r="3" spans="3:5" x14ac:dyDescent="0.35">
      <c r="C3" s="118" t="s">
        <v>77</v>
      </c>
      <c r="D3" s="121">
        <v>40000</v>
      </c>
      <c r="E3" s="118">
        <f t="shared" ref="E3:E22" si="0">IF(D3&gt;43000,(43000*0.3),(D3*0.3))</f>
        <v>12000</v>
      </c>
    </row>
    <row r="4" spans="3:5" x14ac:dyDescent="0.35">
      <c r="C4" s="118" t="s">
        <v>78</v>
      </c>
      <c r="D4" s="121">
        <v>36000</v>
      </c>
      <c r="E4" s="118">
        <f t="shared" si="0"/>
        <v>10800</v>
      </c>
    </row>
    <row r="5" spans="3:5" x14ac:dyDescent="0.35">
      <c r="C5" s="118" t="s">
        <v>79</v>
      </c>
      <c r="D5" s="121">
        <v>40000</v>
      </c>
      <c r="E5" s="118">
        <f t="shared" si="0"/>
        <v>12000</v>
      </c>
    </row>
    <row r="6" spans="3:5" x14ac:dyDescent="0.35">
      <c r="C6" s="118" t="s">
        <v>80</v>
      </c>
      <c r="D6" s="121">
        <v>35000</v>
      </c>
      <c r="E6" s="118">
        <f t="shared" si="0"/>
        <v>10500</v>
      </c>
    </row>
    <row r="7" spans="3:5" x14ac:dyDescent="0.35">
      <c r="C7" s="118" t="s">
        <v>81</v>
      </c>
      <c r="D7" s="121">
        <v>18000</v>
      </c>
      <c r="E7" s="118">
        <f t="shared" si="0"/>
        <v>5400</v>
      </c>
    </row>
    <row r="8" spans="3:5" x14ac:dyDescent="0.35">
      <c r="C8" s="118" t="s">
        <v>94</v>
      </c>
      <c r="D8" s="121">
        <v>36000</v>
      </c>
      <c r="E8" s="118">
        <f t="shared" si="0"/>
        <v>10800</v>
      </c>
    </row>
    <row r="9" spans="3:5" x14ac:dyDescent="0.35">
      <c r="C9" s="118" t="s">
        <v>82</v>
      </c>
      <c r="D9" s="121">
        <v>40000</v>
      </c>
      <c r="E9" s="118">
        <f t="shared" si="0"/>
        <v>12000</v>
      </c>
    </row>
    <row r="10" spans="3:5" x14ac:dyDescent="0.35">
      <c r="C10" s="118" t="s">
        <v>85</v>
      </c>
      <c r="D10" s="121">
        <v>45000</v>
      </c>
      <c r="E10" s="118">
        <f t="shared" si="0"/>
        <v>12900</v>
      </c>
    </row>
    <row r="11" spans="3:5" x14ac:dyDescent="0.35">
      <c r="C11" s="118" t="s">
        <v>83</v>
      </c>
      <c r="D11" s="121">
        <v>40000</v>
      </c>
      <c r="E11" s="118">
        <f t="shared" si="0"/>
        <v>12000</v>
      </c>
    </row>
    <row r="12" spans="3:5" x14ac:dyDescent="0.35">
      <c r="C12" s="118" t="s">
        <v>84</v>
      </c>
      <c r="D12" s="121">
        <v>25000</v>
      </c>
      <c r="E12" s="118">
        <f t="shared" si="0"/>
        <v>7500</v>
      </c>
    </row>
    <row r="13" spans="3:5" x14ac:dyDescent="0.35">
      <c r="C13" s="118" t="s">
        <v>86</v>
      </c>
      <c r="D13" s="121">
        <v>40000</v>
      </c>
      <c r="E13" s="118">
        <f t="shared" si="0"/>
        <v>12000</v>
      </c>
    </row>
    <row r="14" spans="3:5" x14ac:dyDescent="0.35">
      <c r="C14" s="118" t="s">
        <v>87</v>
      </c>
      <c r="D14" s="121">
        <v>45000</v>
      </c>
      <c r="E14" s="118">
        <f t="shared" si="0"/>
        <v>12900</v>
      </c>
    </row>
    <row r="15" spans="3:5" x14ac:dyDescent="0.35">
      <c r="C15" s="118" t="s">
        <v>88</v>
      </c>
      <c r="D15" s="121">
        <v>40000</v>
      </c>
      <c r="E15" s="118">
        <f t="shared" si="0"/>
        <v>12000</v>
      </c>
    </row>
    <row r="16" spans="3:5" x14ac:dyDescent="0.35">
      <c r="C16" s="118" t="s">
        <v>89</v>
      </c>
      <c r="D16" s="121">
        <v>25000</v>
      </c>
      <c r="E16" s="118">
        <f t="shared" si="0"/>
        <v>7500</v>
      </c>
    </row>
    <row r="17" spans="3:5" x14ac:dyDescent="0.35">
      <c r="C17" s="118" t="s">
        <v>90</v>
      </c>
      <c r="D17" s="121">
        <v>35000</v>
      </c>
      <c r="E17" s="118">
        <f t="shared" si="0"/>
        <v>10500</v>
      </c>
    </row>
    <row r="18" spans="3:5" x14ac:dyDescent="0.35">
      <c r="C18" s="118" t="s">
        <v>95</v>
      </c>
      <c r="D18" s="121">
        <v>30000</v>
      </c>
      <c r="E18" s="118">
        <f t="shared" si="0"/>
        <v>9000</v>
      </c>
    </row>
    <row r="19" spans="3:5" x14ac:dyDescent="0.35">
      <c r="C19" s="118" t="s">
        <v>91</v>
      </c>
      <c r="D19" s="121">
        <v>25000</v>
      </c>
      <c r="E19" s="118">
        <f t="shared" si="0"/>
        <v>7500</v>
      </c>
    </row>
    <row r="20" spans="3:5" x14ac:dyDescent="0.35">
      <c r="C20" s="118" t="s">
        <v>91</v>
      </c>
      <c r="D20" s="121">
        <v>25000</v>
      </c>
      <c r="E20" s="118">
        <f t="shared" si="0"/>
        <v>7500</v>
      </c>
    </row>
    <row r="21" spans="3:5" x14ac:dyDescent="0.35">
      <c r="C21" s="118" t="s">
        <v>91</v>
      </c>
      <c r="D21" s="121">
        <v>25000</v>
      </c>
      <c r="E21" s="118">
        <f t="shared" si="0"/>
        <v>7500</v>
      </c>
    </row>
    <row r="22" spans="3:5" x14ac:dyDescent="0.35">
      <c r="C22" s="118" t="s">
        <v>92</v>
      </c>
      <c r="D22" s="121">
        <v>20000</v>
      </c>
      <c r="E22" s="118">
        <f t="shared" si="0"/>
        <v>6000</v>
      </c>
    </row>
    <row r="23" spans="3:5" x14ac:dyDescent="0.35">
      <c r="D23" s="121"/>
    </row>
    <row r="24" spans="3:5" x14ac:dyDescent="0.35">
      <c r="C24" s="118" t="s">
        <v>16</v>
      </c>
      <c r="D24" s="121">
        <f>SUM(D2:D22)</f>
        <v>715000</v>
      </c>
      <c r="E24" s="121">
        <f>SUM(E2:E22)</f>
        <v>211200</v>
      </c>
    </row>
    <row r="26" spans="3:5" x14ac:dyDescent="0.35">
      <c r="C26" s="118" t="s">
        <v>16</v>
      </c>
      <c r="D26" s="121">
        <f>SUM(D24:E24)</f>
        <v>926200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General Info</vt:lpstr>
      <vt:lpstr>Graphs</vt:lpstr>
      <vt:lpstr>Assumptions</vt:lpstr>
      <vt:lpstr>Forecast Sold Cars</vt:lpstr>
      <vt:lpstr>Forecast Users</vt:lpstr>
      <vt:lpstr>Income</vt:lpstr>
      <vt:lpstr>Cost of Sales</vt:lpstr>
      <vt:lpstr>RRHH Team</vt:lpstr>
      <vt:lpstr>Salaries</vt:lpstr>
      <vt:lpstr>Marketing</vt:lpstr>
      <vt:lpstr>Cargatucoche</vt:lpstr>
      <vt:lpstr>Inversion Software</vt:lpstr>
      <vt:lpstr>PROFIT</vt:lpstr>
      <vt:lpstr>Chargick 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alia altares</dc:creator>
  <cp:lastModifiedBy>enrique alia altares</cp:lastModifiedBy>
  <dcterms:created xsi:type="dcterms:W3CDTF">2019-02-27T22:09:13Z</dcterms:created>
  <dcterms:modified xsi:type="dcterms:W3CDTF">2019-10-08T18:03:39Z</dcterms:modified>
</cp:coreProperties>
</file>